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couples-unequal-income-money-plan\revision-01\resources\"/>
    </mc:Choice>
  </mc:AlternateContent>
  <xr:revisionPtr revIDLastSave="0" documentId="13_ncr:1_{3D4C6535-EEA9-4D28-93B6-09ACB83E8E82}" xr6:coauthVersionLast="47" xr6:coauthVersionMax="47" xr10:uidLastSave="{00000000-0000-0000-0000-000000000000}"/>
  <bookViews>
    <workbookView xWindow="-120" yWindow="-120" windowWidth="29040" windowHeight="15840" xr2:uid="{00000000-000D-0000-FFFF-FFFF00000000}"/>
  </bookViews>
  <sheets>
    <sheet name="Guide" sheetId="1" r:id="rId1"/>
    <sheet name="Direct180" sheetId="2" r:id="rId2"/>
    <sheet name="Setup" sheetId="3" r:id="rId3"/>
    <sheet name="Agreements" sheetId="4" r:id="rId4"/>
    <sheet name="Transactions" sheetId="5" r:id="rId5"/>
    <sheet name="Close" sheetId="6" r:id="rId6"/>
  </sheets>
  <definedNames>
    <definedName name="_xlnm.Print_Area" localSheetId="3">Agreements!$A$1:$F$16</definedName>
    <definedName name="_xlnm.Print_Area" localSheetId="5">Close!$A$1:$D$48</definedName>
    <definedName name="_xlnm.Print_Area" localSheetId="1">Direct180!$A$1:$D$17</definedName>
    <definedName name="_xlnm.Print_Area" localSheetId="0">Guide!$A$1:$D$22</definedName>
    <definedName name="_xlnm.Print_Area" localSheetId="2">Setup!$A$1:$D$36</definedName>
    <definedName name="_xlnm.Print_Area" localSheetId="4">Transactions!$A$1:$J$10</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6" i="6" l="1"/>
  <c r="B24" i="6"/>
  <c r="B25" i="6" s="1"/>
  <c r="B22" i="6"/>
  <c r="B23" i="6" s="1"/>
  <c r="B6" i="6"/>
  <c r="B33" i="6" s="1"/>
  <c r="B5" i="6"/>
  <c r="B16" i="6" s="1"/>
  <c r="BD64" i="5"/>
  <c r="BC64" i="5"/>
  <c r="T64" i="5" s="1"/>
  <c r="AV64" i="5" s="1"/>
  <c r="BB64" i="5"/>
  <c r="BA64" i="5"/>
  <c r="W64" i="5"/>
  <c r="V64" i="5"/>
  <c r="U64" i="5"/>
  <c r="X64" i="5" s="1"/>
  <c r="S64" i="5"/>
  <c r="R64" i="5"/>
  <c r="BD63" i="5"/>
  <c r="BC63" i="5"/>
  <c r="T63" i="5" s="1"/>
  <c r="AV63" i="5" s="1"/>
  <c r="BB63" i="5"/>
  <c r="BA63" i="5"/>
  <c r="W63" i="5"/>
  <c r="V63" i="5"/>
  <c r="U63" i="5"/>
  <c r="X63" i="5" s="1"/>
  <c r="S63" i="5"/>
  <c r="R63" i="5"/>
  <c r="BD62" i="5"/>
  <c r="BC62" i="5"/>
  <c r="T62" i="5" s="1"/>
  <c r="AS62" i="5" s="1"/>
  <c r="BB62" i="5"/>
  <c r="BA62" i="5"/>
  <c r="W62" i="5"/>
  <c r="V62" i="5"/>
  <c r="U62" i="5"/>
  <c r="X62" i="5" s="1"/>
  <c r="Y62" i="5" s="1"/>
  <c r="S62" i="5"/>
  <c r="R62" i="5"/>
  <c r="BD61" i="5"/>
  <c r="BC61" i="5"/>
  <c r="T61" i="5" s="1"/>
  <c r="AH61" i="5" s="1"/>
  <c r="BB61" i="5"/>
  <c r="BA61" i="5"/>
  <c r="W61" i="5"/>
  <c r="V61" i="5"/>
  <c r="U61" i="5"/>
  <c r="X61" i="5" s="1"/>
  <c r="S61" i="5"/>
  <c r="R61" i="5"/>
  <c r="BD60" i="5"/>
  <c r="BC60" i="5"/>
  <c r="T60" i="5" s="1"/>
  <c r="BB60" i="5"/>
  <c r="BA60" i="5"/>
  <c r="W60" i="5"/>
  <c r="V60" i="5"/>
  <c r="U60" i="5"/>
  <c r="X60" i="5" s="1"/>
  <c r="S60" i="5"/>
  <c r="R60" i="5"/>
  <c r="BD59" i="5"/>
  <c r="BC59" i="5"/>
  <c r="T59" i="5" s="1"/>
  <c r="AV59" i="5" s="1"/>
  <c r="BB59" i="5"/>
  <c r="BA59" i="5"/>
  <c r="W59" i="5"/>
  <c r="V59" i="5"/>
  <c r="U59" i="5"/>
  <c r="X59" i="5" s="1"/>
  <c r="S59" i="5"/>
  <c r="R59" i="5"/>
  <c r="BD58" i="5"/>
  <c r="BC58" i="5"/>
  <c r="T58" i="5" s="1"/>
  <c r="AV58" i="5" s="1"/>
  <c r="BB58" i="5"/>
  <c r="BA58" i="5"/>
  <c r="W58" i="5"/>
  <c r="V58" i="5"/>
  <c r="U58" i="5"/>
  <c r="X58" i="5" s="1"/>
  <c r="Y58" i="5" s="1"/>
  <c r="S58" i="5"/>
  <c r="R58" i="5"/>
  <c r="BD57" i="5"/>
  <c r="BC57" i="5"/>
  <c r="T57" i="5" s="1"/>
  <c r="BB57" i="5"/>
  <c r="BA57" i="5"/>
  <c r="X57" i="5"/>
  <c r="W57" i="5"/>
  <c r="V57" i="5"/>
  <c r="U57" i="5"/>
  <c r="S57" i="5"/>
  <c r="R57" i="5"/>
  <c r="BD56" i="5"/>
  <c r="BC56" i="5"/>
  <c r="T56" i="5" s="1"/>
  <c r="AV56" i="5" s="1"/>
  <c r="BB56" i="5"/>
  <c r="BA56" i="5"/>
  <c r="W56" i="5"/>
  <c r="V56" i="5"/>
  <c r="U56" i="5"/>
  <c r="X56" i="5" s="1"/>
  <c r="S56" i="5"/>
  <c r="R56" i="5"/>
  <c r="BD55" i="5"/>
  <c r="BC55" i="5"/>
  <c r="T55" i="5" s="1"/>
  <c r="BB55" i="5"/>
  <c r="BA55" i="5"/>
  <c r="X55" i="5"/>
  <c r="Y55" i="5" s="1"/>
  <c r="W55" i="5"/>
  <c r="V55" i="5"/>
  <c r="U55" i="5"/>
  <c r="S55" i="5"/>
  <c r="R55" i="5"/>
  <c r="BD54" i="5"/>
  <c r="BC54" i="5"/>
  <c r="T54" i="5" s="1"/>
  <c r="BB54" i="5"/>
  <c r="BA54" i="5"/>
  <c r="W54" i="5"/>
  <c r="V54" i="5"/>
  <c r="U54" i="5"/>
  <c r="X54" i="5" s="1"/>
  <c r="Y54" i="5" s="1"/>
  <c r="Z54" i="5" s="1"/>
  <c r="S54" i="5"/>
  <c r="R54" i="5"/>
  <c r="BD53" i="5"/>
  <c r="BC53" i="5"/>
  <c r="T53" i="5" s="1"/>
  <c r="AV53" i="5" s="1"/>
  <c r="BB53" i="5"/>
  <c r="BA53" i="5"/>
  <c r="W53" i="5"/>
  <c r="V53" i="5"/>
  <c r="U53" i="5"/>
  <c r="X53" i="5" s="1"/>
  <c r="S53" i="5"/>
  <c r="R53" i="5"/>
  <c r="BD52" i="5"/>
  <c r="BC52" i="5"/>
  <c r="T52" i="5" s="1"/>
  <c r="BB52" i="5"/>
  <c r="BA52" i="5"/>
  <c r="W52" i="5"/>
  <c r="V52" i="5"/>
  <c r="U52" i="5"/>
  <c r="X52" i="5" s="1"/>
  <c r="Y52" i="5" s="1"/>
  <c r="Z52" i="5" s="1"/>
  <c r="S52" i="5"/>
  <c r="R52" i="5"/>
  <c r="BD51" i="5"/>
  <c r="BC51" i="5"/>
  <c r="T51" i="5" s="1"/>
  <c r="AG51" i="5" s="1"/>
  <c r="BB51" i="5"/>
  <c r="BA51" i="5"/>
  <c r="W51" i="5"/>
  <c r="V51" i="5"/>
  <c r="U51" i="5"/>
  <c r="X51" i="5" s="1"/>
  <c r="Y51" i="5" s="1"/>
  <c r="Z51" i="5" s="1"/>
  <c r="S51" i="5"/>
  <c r="R51" i="5"/>
  <c r="BD50" i="5"/>
  <c r="BC50" i="5"/>
  <c r="BB50" i="5"/>
  <c r="BA50" i="5"/>
  <c r="W50" i="5"/>
  <c r="V50" i="5"/>
  <c r="U50" i="5"/>
  <c r="X50" i="5" s="1"/>
  <c r="T50" i="5"/>
  <c r="AV50" i="5" s="1"/>
  <c r="S50" i="5"/>
  <c r="R50" i="5"/>
  <c r="BD49" i="5"/>
  <c r="BC49" i="5"/>
  <c r="T49" i="5" s="1"/>
  <c r="AG49" i="5" s="1"/>
  <c r="BB49" i="5"/>
  <c r="BA49" i="5"/>
  <c r="W49" i="5"/>
  <c r="V49" i="5"/>
  <c r="U49" i="5"/>
  <c r="X49" i="5" s="1"/>
  <c r="S49" i="5"/>
  <c r="R49" i="5"/>
  <c r="BD48" i="5"/>
  <c r="BC48" i="5"/>
  <c r="T48" i="5" s="1"/>
  <c r="BB48" i="5"/>
  <c r="BA48" i="5"/>
  <c r="W48" i="5"/>
  <c r="V48" i="5"/>
  <c r="U48" i="5"/>
  <c r="X48" i="5" s="1"/>
  <c r="S48" i="5"/>
  <c r="R48" i="5"/>
  <c r="BD47" i="5"/>
  <c r="BC47" i="5"/>
  <c r="T47" i="5" s="1"/>
  <c r="BB47" i="5"/>
  <c r="BA47" i="5"/>
  <c r="X47" i="5"/>
  <c r="Y47" i="5" s="1"/>
  <c r="Z47" i="5" s="1"/>
  <c r="W47" i="5"/>
  <c r="V47" i="5"/>
  <c r="U47" i="5"/>
  <c r="S47" i="5"/>
  <c r="R47" i="5"/>
  <c r="BD46" i="5"/>
  <c r="BC46" i="5"/>
  <c r="T46" i="5" s="1"/>
  <c r="BB46" i="5"/>
  <c r="BA46" i="5"/>
  <c r="X46" i="5"/>
  <c r="W46" i="5"/>
  <c r="V46" i="5"/>
  <c r="U46" i="5"/>
  <c r="S46" i="5"/>
  <c r="R46" i="5"/>
  <c r="BD45" i="5"/>
  <c r="BC45" i="5"/>
  <c r="T45" i="5" s="1"/>
  <c r="AZ45" i="5" s="1"/>
  <c r="BB45" i="5"/>
  <c r="BA45" i="5"/>
  <c r="X45" i="5"/>
  <c r="Y45" i="5" s="1"/>
  <c r="Z45" i="5" s="1"/>
  <c r="W45" i="5"/>
  <c r="V45" i="5"/>
  <c r="U45" i="5"/>
  <c r="S45" i="5"/>
  <c r="R45" i="5"/>
  <c r="BD44" i="5"/>
  <c r="BC44" i="5"/>
  <c r="BB44" i="5"/>
  <c r="BA44" i="5"/>
  <c r="X44" i="5"/>
  <c r="W44" i="5"/>
  <c r="V44" i="5"/>
  <c r="U44" i="5"/>
  <c r="T44" i="5"/>
  <c r="S44" i="5"/>
  <c r="R44" i="5"/>
  <c r="BD43" i="5"/>
  <c r="BC43" i="5"/>
  <c r="BB43" i="5"/>
  <c r="BA43" i="5"/>
  <c r="W43" i="5"/>
  <c r="V43" i="5"/>
  <c r="U43" i="5"/>
  <c r="X43" i="5" s="1"/>
  <c r="Y43" i="5" s="1"/>
  <c r="Z43" i="5" s="1"/>
  <c r="T43" i="5"/>
  <c r="AR43" i="5" s="1"/>
  <c r="S43" i="5"/>
  <c r="R43" i="5"/>
  <c r="BD42" i="5"/>
  <c r="BC42" i="5"/>
  <c r="T42" i="5" s="1"/>
  <c r="BB42" i="5"/>
  <c r="BA42" i="5"/>
  <c r="W42" i="5"/>
  <c r="V42" i="5"/>
  <c r="U42" i="5"/>
  <c r="X42" i="5" s="1"/>
  <c r="S42" i="5"/>
  <c r="R42" i="5"/>
  <c r="BD41" i="5"/>
  <c r="BC41" i="5"/>
  <c r="BB41" i="5"/>
  <c r="BA41" i="5"/>
  <c r="W41" i="5"/>
  <c r="V41" i="5"/>
  <c r="U41" i="5"/>
  <c r="X41" i="5" s="1"/>
  <c r="Y41" i="5" s="1"/>
  <c r="Z41" i="5" s="1"/>
  <c r="T41" i="5"/>
  <c r="AY41" i="5" s="1"/>
  <c r="S41" i="5"/>
  <c r="R41" i="5"/>
  <c r="BD40" i="5"/>
  <c r="BC40" i="5"/>
  <c r="BB40" i="5"/>
  <c r="BA40" i="5"/>
  <c r="X40" i="5"/>
  <c r="W40" i="5"/>
  <c r="V40" i="5"/>
  <c r="U40" i="5"/>
  <c r="T40" i="5"/>
  <c r="S40" i="5"/>
  <c r="R40" i="5"/>
  <c r="BD39" i="5"/>
  <c r="BC39" i="5"/>
  <c r="T39" i="5" s="1"/>
  <c r="AE39" i="5" s="1"/>
  <c r="BB39" i="5"/>
  <c r="BA39" i="5"/>
  <c r="AD39" i="5"/>
  <c r="AB39" i="5"/>
  <c r="X39" i="5"/>
  <c r="Y39" i="5" s="1"/>
  <c r="W39" i="5"/>
  <c r="V39" i="5"/>
  <c r="U39" i="5"/>
  <c r="S39" i="5"/>
  <c r="R39" i="5"/>
  <c r="BD38" i="5"/>
  <c r="BC38" i="5"/>
  <c r="BB38" i="5"/>
  <c r="BA38" i="5"/>
  <c r="W38" i="5"/>
  <c r="V38" i="5"/>
  <c r="U38" i="5"/>
  <c r="X38" i="5" s="1"/>
  <c r="Y38" i="5" s="1"/>
  <c r="Z38" i="5" s="1"/>
  <c r="T38" i="5"/>
  <c r="AQ38" i="5" s="1"/>
  <c r="S38" i="5"/>
  <c r="R38" i="5"/>
  <c r="BD37" i="5"/>
  <c r="BC37" i="5"/>
  <c r="T37" i="5" s="1"/>
  <c r="BB37" i="5"/>
  <c r="BA37" i="5"/>
  <c r="X37" i="5"/>
  <c r="W37" i="5"/>
  <c r="V37" i="5"/>
  <c r="U37" i="5"/>
  <c r="S37" i="5"/>
  <c r="R37" i="5"/>
  <c r="BD36" i="5"/>
  <c r="BC36" i="5"/>
  <c r="T36" i="5" s="1"/>
  <c r="BB36" i="5"/>
  <c r="BA36" i="5"/>
  <c r="W36" i="5"/>
  <c r="V36" i="5"/>
  <c r="U36" i="5"/>
  <c r="X36" i="5" s="1"/>
  <c r="S36" i="5"/>
  <c r="R36" i="5"/>
  <c r="BD35" i="5"/>
  <c r="BC35" i="5"/>
  <c r="T35" i="5" s="1"/>
  <c r="AZ35" i="5" s="1"/>
  <c r="BB35" i="5"/>
  <c r="BA35" i="5"/>
  <c r="AT35" i="5"/>
  <c r="W35" i="5"/>
  <c r="V35" i="5"/>
  <c r="U35" i="5"/>
  <c r="X35" i="5" s="1"/>
  <c r="S35" i="5"/>
  <c r="R35" i="5"/>
  <c r="BD34" i="5"/>
  <c r="BC34" i="5"/>
  <c r="T34" i="5" s="1"/>
  <c r="BB34" i="5"/>
  <c r="BA34" i="5"/>
  <c r="X34" i="5"/>
  <c r="W34" i="5"/>
  <c r="V34" i="5"/>
  <c r="U34" i="5"/>
  <c r="S34" i="5"/>
  <c r="R34" i="5"/>
  <c r="BD33" i="5"/>
  <c r="BC33" i="5"/>
  <c r="T33" i="5" s="1"/>
  <c r="AY33" i="5" s="1"/>
  <c r="BB33" i="5"/>
  <c r="BA33" i="5"/>
  <c r="W33" i="5"/>
  <c r="V33" i="5"/>
  <c r="U33" i="5"/>
  <c r="X33" i="5" s="1"/>
  <c r="S33" i="5"/>
  <c r="R33" i="5"/>
  <c r="BD32" i="5"/>
  <c r="BC32" i="5"/>
  <c r="T32" i="5" s="1"/>
  <c r="BB32" i="5"/>
  <c r="BA32" i="5"/>
  <c r="W32" i="5"/>
  <c r="V32" i="5"/>
  <c r="U32" i="5"/>
  <c r="X32" i="5" s="1"/>
  <c r="Y32" i="5" s="1"/>
  <c r="S32" i="5"/>
  <c r="R32" i="5"/>
  <c r="BD31" i="5"/>
  <c r="BC31" i="5"/>
  <c r="T31" i="5" s="1"/>
  <c r="BB31" i="5"/>
  <c r="BA31" i="5"/>
  <c r="W31" i="5"/>
  <c r="V31" i="5"/>
  <c r="U31" i="5"/>
  <c r="X31" i="5" s="1"/>
  <c r="S31" i="5"/>
  <c r="R31" i="5"/>
  <c r="BD30" i="5"/>
  <c r="BC30" i="5"/>
  <c r="T30" i="5" s="1"/>
  <c r="BB30" i="5"/>
  <c r="BA30" i="5"/>
  <c r="W30" i="5"/>
  <c r="V30" i="5"/>
  <c r="U30" i="5"/>
  <c r="X30" i="5" s="1"/>
  <c r="S30" i="5"/>
  <c r="R30" i="5"/>
  <c r="BD29" i="5"/>
  <c r="BC29" i="5"/>
  <c r="BB29" i="5"/>
  <c r="BA29" i="5"/>
  <c r="W29" i="5"/>
  <c r="V29" i="5"/>
  <c r="U29" i="5"/>
  <c r="X29" i="5" s="1"/>
  <c r="Y29" i="5" s="1"/>
  <c r="T29" i="5"/>
  <c r="AZ29" i="5" s="1"/>
  <c r="S29" i="5"/>
  <c r="R29" i="5"/>
  <c r="BD28" i="5"/>
  <c r="BC28" i="5"/>
  <c r="T28" i="5" s="1"/>
  <c r="AY28" i="5" s="1"/>
  <c r="BB28" i="5"/>
  <c r="BA28" i="5"/>
  <c r="W28" i="5"/>
  <c r="V28" i="5"/>
  <c r="U28" i="5"/>
  <c r="X28" i="5" s="1"/>
  <c r="S28" i="5"/>
  <c r="R28" i="5"/>
  <c r="BD27" i="5"/>
  <c r="BC27" i="5"/>
  <c r="T27" i="5" s="1"/>
  <c r="AZ27" i="5" s="1"/>
  <c r="BB27" i="5"/>
  <c r="BA27" i="5"/>
  <c r="X27" i="5"/>
  <c r="Y27" i="5" s="1"/>
  <c r="Z27" i="5" s="1"/>
  <c r="W27" i="5"/>
  <c r="V27" i="5"/>
  <c r="U27" i="5"/>
  <c r="S27" i="5"/>
  <c r="R27" i="5"/>
  <c r="BD26" i="5"/>
  <c r="BC26" i="5"/>
  <c r="T26" i="5" s="1"/>
  <c r="AZ26" i="5" s="1"/>
  <c r="BB26" i="5"/>
  <c r="BA26" i="5"/>
  <c r="AD26" i="5"/>
  <c r="W26" i="5"/>
  <c r="V26" i="5"/>
  <c r="U26" i="5"/>
  <c r="X26" i="5" s="1"/>
  <c r="S26" i="5"/>
  <c r="R26" i="5"/>
  <c r="BD25" i="5"/>
  <c r="BC25" i="5"/>
  <c r="BB25" i="5"/>
  <c r="BA25" i="5"/>
  <c r="AR25" i="5"/>
  <c r="AO25" i="5"/>
  <c r="W25" i="5"/>
  <c r="V25" i="5"/>
  <c r="U25" i="5"/>
  <c r="X25" i="5" s="1"/>
  <c r="T25" i="5"/>
  <c r="AF25" i="5" s="1"/>
  <c r="S25" i="5"/>
  <c r="R25" i="5"/>
  <c r="BD24" i="5"/>
  <c r="BC24" i="5"/>
  <c r="BB24" i="5"/>
  <c r="BA24" i="5"/>
  <c r="W24" i="5"/>
  <c r="V24" i="5"/>
  <c r="U24" i="5"/>
  <c r="X24" i="5" s="1"/>
  <c r="T24" i="5"/>
  <c r="AV24" i="5" s="1"/>
  <c r="S24" i="5"/>
  <c r="R24" i="5"/>
  <c r="BD23" i="5"/>
  <c r="BC23" i="5"/>
  <c r="T23" i="5" s="1"/>
  <c r="BB23" i="5"/>
  <c r="BA23" i="5"/>
  <c r="W23" i="5"/>
  <c r="V23" i="5"/>
  <c r="U23" i="5"/>
  <c r="X23" i="5" s="1"/>
  <c r="S23" i="5"/>
  <c r="R23" i="5"/>
  <c r="BD22" i="5"/>
  <c r="BC22" i="5"/>
  <c r="T22" i="5" s="1"/>
  <c r="AQ22" i="5" s="1"/>
  <c r="BB22" i="5"/>
  <c r="BA22" i="5"/>
  <c r="AB22" i="5"/>
  <c r="W22" i="5"/>
  <c r="V22" i="5"/>
  <c r="U22" i="5"/>
  <c r="X22" i="5" s="1"/>
  <c r="S22" i="5"/>
  <c r="R22" i="5"/>
  <c r="BD21" i="5"/>
  <c r="BC21" i="5"/>
  <c r="T21" i="5" s="1"/>
  <c r="AP21" i="5" s="1"/>
  <c r="BB21" i="5"/>
  <c r="BA21" i="5"/>
  <c r="W21" i="5"/>
  <c r="V21" i="5"/>
  <c r="U21" i="5"/>
  <c r="X21" i="5" s="1"/>
  <c r="S21" i="5"/>
  <c r="R21" i="5"/>
  <c r="BD20" i="5"/>
  <c r="BC20" i="5"/>
  <c r="T20" i="5" s="1"/>
  <c r="AG20" i="5" s="1"/>
  <c r="BB20" i="5"/>
  <c r="BA20" i="5"/>
  <c r="AQ20" i="5"/>
  <c r="AA20" i="5"/>
  <c r="W20" i="5"/>
  <c r="V20" i="5"/>
  <c r="U20" i="5"/>
  <c r="X20" i="5" s="1"/>
  <c r="S20" i="5"/>
  <c r="R20" i="5"/>
  <c r="BD19" i="5"/>
  <c r="BC19" i="5"/>
  <c r="T19" i="5" s="1"/>
  <c r="BB19" i="5"/>
  <c r="BA19" i="5"/>
  <c r="W19" i="5"/>
  <c r="V19" i="5"/>
  <c r="U19" i="5"/>
  <c r="X19" i="5" s="1"/>
  <c r="S19" i="5"/>
  <c r="R19" i="5"/>
  <c r="BD18" i="5"/>
  <c r="BC18" i="5"/>
  <c r="T18" i="5" s="1"/>
  <c r="BB18" i="5"/>
  <c r="BA18" i="5"/>
  <c r="W18" i="5"/>
  <c r="V18" i="5"/>
  <c r="U18" i="5"/>
  <c r="X18" i="5" s="1"/>
  <c r="S18" i="5"/>
  <c r="R18" i="5"/>
  <c r="BD17" i="5"/>
  <c r="BC17" i="5"/>
  <c r="T17" i="5" s="1"/>
  <c r="BB17" i="5"/>
  <c r="BA17" i="5"/>
  <c r="AD17" i="5"/>
  <c r="W17" i="5"/>
  <c r="V17" i="5"/>
  <c r="U17" i="5"/>
  <c r="X17" i="5" s="1"/>
  <c r="S17" i="5"/>
  <c r="R17" i="5"/>
  <c r="BD16" i="5"/>
  <c r="BC16" i="5"/>
  <c r="T16" i="5" s="1"/>
  <c r="AX16" i="5" s="1"/>
  <c r="BB16" i="5"/>
  <c r="BA16" i="5"/>
  <c r="AQ16" i="5"/>
  <c r="W16" i="5"/>
  <c r="V16" i="5"/>
  <c r="U16" i="5"/>
  <c r="X16" i="5" s="1"/>
  <c r="S16" i="5"/>
  <c r="R16" i="5"/>
  <c r="BD15" i="5"/>
  <c r="BC15" i="5"/>
  <c r="T15" i="5" s="1"/>
  <c r="AG15" i="5" s="1"/>
  <c r="BB15" i="5"/>
  <c r="BA15" i="5"/>
  <c r="AR15" i="5"/>
  <c r="AQ15" i="5"/>
  <c r="AH15" i="5"/>
  <c r="W15" i="5"/>
  <c r="V15" i="5"/>
  <c r="U15" i="5"/>
  <c r="X15" i="5" s="1"/>
  <c r="S15" i="5"/>
  <c r="R15" i="5"/>
  <c r="BD14" i="5"/>
  <c r="BC14" i="5"/>
  <c r="T14" i="5" s="1"/>
  <c r="AB14" i="5" s="1"/>
  <c r="BB14" i="5"/>
  <c r="BA14" i="5"/>
  <c r="W14" i="5"/>
  <c r="V14" i="5"/>
  <c r="U14" i="5"/>
  <c r="X14" i="5" s="1"/>
  <c r="S14" i="5"/>
  <c r="R14" i="5"/>
  <c r="BD13" i="5"/>
  <c r="BC13" i="5"/>
  <c r="T13" i="5" s="1"/>
  <c r="AX13" i="5" s="1"/>
  <c r="BB13" i="5"/>
  <c r="BA13" i="5"/>
  <c r="W13" i="5"/>
  <c r="V13" i="5"/>
  <c r="U13" i="5"/>
  <c r="X13" i="5" s="1"/>
  <c r="S13" i="5"/>
  <c r="R13" i="5"/>
  <c r="BD12" i="5"/>
  <c r="BC12" i="5"/>
  <c r="T12" i="5" s="1"/>
  <c r="AC12" i="5" s="1"/>
  <c r="BB12" i="5"/>
  <c r="BA12" i="5"/>
  <c r="AG12" i="5"/>
  <c r="W12" i="5"/>
  <c r="V12" i="5"/>
  <c r="U12" i="5"/>
  <c r="X12" i="5" s="1"/>
  <c r="S12" i="5"/>
  <c r="R12" i="5"/>
  <c r="BD11" i="5"/>
  <c r="BC11" i="5"/>
  <c r="T11" i="5" s="1"/>
  <c r="AQ11" i="5" s="1"/>
  <c r="BB11" i="5"/>
  <c r="BA11" i="5"/>
  <c r="AX11" i="5"/>
  <c r="W11" i="5"/>
  <c r="V11" i="5"/>
  <c r="U11" i="5"/>
  <c r="X11" i="5" s="1"/>
  <c r="S11" i="5"/>
  <c r="R11" i="5"/>
  <c r="BD10" i="5"/>
  <c r="BC10" i="5"/>
  <c r="T10" i="5" s="1"/>
  <c r="AQ10" i="5" s="1"/>
  <c r="BB10" i="5"/>
  <c r="BA10" i="5"/>
  <c r="W10" i="5"/>
  <c r="V10" i="5"/>
  <c r="U10" i="5"/>
  <c r="X10" i="5" s="1"/>
  <c r="S10" i="5"/>
  <c r="R10" i="5"/>
  <c r="BD9" i="5"/>
  <c r="BC9" i="5"/>
  <c r="T9" i="5" s="1"/>
  <c r="AX9" i="5" s="1"/>
  <c r="BB9" i="5"/>
  <c r="BA9" i="5"/>
  <c r="W9" i="5"/>
  <c r="V9" i="5"/>
  <c r="U9" i="5"/>
  <c r="X9" i="5" s="1"/>
  <c r="Y9" i="5" s="1"/>
  <c r="S9" i="5"/>
  <c r="R9" i="5"/>
  <c r="BD8" i="5"/>
  <c r="BC8" i="5"/>
  <c r="T8" i="5" s="1"/>
  <c r="AE8" i="5" s="1"/>
  <c r="BB8" i="5"/>
  <c r="BA8" i="5"/>
  <c r="AZ8" i="5"/>
  <c r="AS8" i="5"/>
  <c r="AR8" i="5"/>
  <c r="AQ8" i="5"/>
  <c r="AP8" i="5"/>
  <c r="AH8" i="5"/>
  <c r="AD8" i="5"/>
  <c r="AB8" i="5"/>
  <c r="W8" i="5"/>
  <c r="V8" i="5"/>
  <c r="U8" i="5"/>
  <c r="X8" i="5" s="1"/>
  <c r="S8" i="5"/>
  <c r="R8" i="5"/>
  <c r="BD7" i="5"/>
  <c r="BC7" i="5"/>
  <c r="T7" i="5" s="1"/>
  <c r="BB7" i="5"/>
  <c r="BA7" i="5"/>
  <c r="AH7" i="5"/>
  <c r="AF7" i="5"/>
  <c r="X7" i="5"/>
  <c r="Y7" i="5" s="1"/>
  <c r="W7" i="5"/>
  <c r="V7" i="5"/>
  <c r="U7" i="5"/>
  <c r="S7" i="5"/>
  <c r="R7" i="5"/>
  <c r="BD6" i="5"/>
  <c r="BC6" i="5"/>
  <c r="T6" i="5" s="1"/>
  <c r="AO6" i="5" s="1"/>
  <c r="BB6" i="5"/>
  <c r="BA6" i="5"/>
  <c r="AY6" i="5" s="1"/>
  <c r="AP6" i="5"/>
  <c r="W6" i="5"/>
  <c r="V6" i="5"/>
  <c r="U6" i="5"/>
  <c r="X6" i="5" s="1"/>
  <c r="S6" i="5"/>
  <c r="R6" i="5"/>
  <c r="BD5" i="5"/>
  <c r="BC5" i="5"/>
  <c r="T5" i="5" s="1"/>
  <c r="AO5" i="5" s="1"/>
  <c r="BB5" i="5"/>
  <c r="BA5" i="5"/>
  <c r="W5" i="5"/>
  <c r="V5" i="5"/>
  <c r="U5" i="5"/>
  <c r="X5" i="5" s="1"/>
  <c r="S5" i="5"/>
  <c r="R5" i="5"/>
  <c r="Q5" i="5"/>
  <c r="Z16" i="4"/>
  <c r="W16" i="4"/>
  <c r="V16" i="4"/>
  <c r="R16" i="4"/>
  <c r="Y16" i="4" s="1"/>
  <c r="P16" i="4"/>
  <c r="Z15" i="4"/>
  <c r="W15" i="4"/>
  <c r="V15" i="4"/>
  <c r="R15" i="4"/>
  <c r="Y15" i="4" s="1"/>
  <c r="P15" i="4"/>
  <c r="Q15" i="4" s="1"/>
  <c r="AA15" i="4" s="1"/>
  <c r="T15" i="4" s="1"/>
  <c r="Z14" i="4"/>
  <c r="W14" i="4"/>
  <c r="V14" i="4"/>
  <c r="R14" i="4"/>
  <c r="Y14" i="4" s="1"/>
  <c r="P14" i="4"/>
  <c r="Q14" i="4" s="1"/>
  <c r="AA14" i="4" s="1"/>
  <c r="T14" i="4" s="1"/>
  <c r="U14" i="4" s="1"/>
  <c r="Z13" i="4"/>
  <c r="W13" i="4"/>
  <c r="V13" i="4"/>
  <c r="R13" i="4"/>
  <c r="Y13" i="4" s="1"/>
  <c r="P13" i="4"/>
  <c r="Z12" i="4"/>
  <c r="W12" i="4"/>
  <c r="V12" i="4"/>
  <c r="R12" i="4"/>
  <c r="Y12" i="4" s="1"/>
  <c r="P12" i="4"/>
  <c r="Z11" i="4"/>
  <c r="W11" i="4"/>
  <c r="V11" i="4"/>
  <c r="R11" i="4"/>
  <c r="Y11" i="4" s="1"/>
  <c r="P11" i="4"/>
  <c r="Z10" i="4"/>
  <c r="W10" i="4"/>
  <c r="V10" i="4"/>
  <c r="R10" i="4"/>
  <c r="Y10" i="4" s="1"/>
  <c r="P10" i="4"/>
  <c r="Z9" i="4"/>
  <c r="W9" i="4"/>
  <c r="V9" i="4"/>
  <c r="R9" i="4"/>
  <c r="Y9" i="4" s="1"/>
  <c r="Q9" i="4"/>
  <c r="AA9" i="4" s="1"/>
  <c r="T9" i="4" s="1"/>
  <c r="U9" i="4" s="1"/>
  <c r="P9" i="4"/>
  <c r="Z8" i="4"/>
  <c r="W8" i="4"/>
  <c r="V8" i="4"/>
  <c r="R8" i="4"/>
  <c r="Y8" i="4" s="1"/>
  <c r="P8" i="4"/>
  <c r="Z7" i="4"/>
  <c r="W7" i="4"/>
  <c r="V7" i="4"/>
  <c r="R7" i="4"/>
  <c r="Y7" i="4" s="1"/>
  <c r="P7" i="4"/>
  <c r="Z6" i="4"/>
  <c r="W6" i="4"/>
  <c r="V6" i="4"/>
  <c r="R6" i="4"/>
  <c r="Y6" i="4" s="1"/>
  <c r="P6" i="4"/>
  <c r="Z5" i="4"/>
  <c r="W5" i="4"/>
  <c r="V5" i="4"/>
  <c r="R5" i="4"/>
  <c r="Y5" i="4" s="1"/>
  <c r="P5" i="4"/>
  <c r="B34" i="3"/>
  <c r="B35" i="3" s="1"/>
  <c r="AV32" i="5" l="1"/>
  <c r="AY32" i="5"/>
  <c r="AQ32" i="5"/>
  <c r="AR42" i="5"/>
  <c r="AC42" i="5"/>
  <c r="AB42" i="5"/>
  <c r="AE42" i="5"/>
  <c r="AH20" i="5"/>
  <c r="AV28" i="5"/>
  <c r="AC10" i="5"/>
  <c r="AP20" i="5"/>
  <c r="AT26" i="5"/>
  <c r="AB51" i="5"/>
  <c r="Y48" i="5"/>
  <c r="Y6" i="5"/>
  <c r="Z6" i="5" s="1"/>
  <c r="AP15" i="5"/>
  <c r="AP25" i="5"/>
  <c r="AQ6" i="5"/>
  <c r="AD12" i="5"/>
  <c r="AX15" i="5"/>
  <c r="AA22" i="5"/>
  <c r="AG39" i="5"/>
  <c r="AX46" i="5"/>
  <c r="AC50" i="5"/>
  <c r="AR6" i="5"/>
  <c r="AA8" i="5"/>
  <c r="AC9" i="5"/>
  <c r="AH12" i="5"/>
  <c r="AS15" i="5"/>
  <c r="AG22" i="5"/>
  <c r="AV36" i="5"/>
  <c r="AA38" i="5"/>
  <c r="AS50" i="5"/>
  <c r="AE9" i="5"/>
  <c r="AR12" i="5"/>
  <c r="AC14" i="5"/>
  <c r="AX19" i="5"/>
  <c r="AP22" i="5"/>
  <c r="AB38" i="5"/>
  <c r="AT50" i="5"/>
  <c r="AB62" i="5"/>
  <c r="AB5" i="5"/>
  <c r="AC8" i="5"/>
  <c r="AF9" i="5"/>
  <c r="AX12" i="5"/>
  <c r="AH14" i="5"/>
  <c r="AX17" i="5"/>
  <c r="AV22" i="5"/>
  <c r="AH38" i="5"/>
  <c r="AG62" i="5"/>
  <c r="AC5" i="5"/>
  <c r="AH9" i="5"/>
  <c r="AA11" i="5"/>
  <c r="AP14" i="5"/>
  <c r="AO24" i="5"/>
  <c r="AV31" i="5"/>
  <c r="AX38" i="5"/>
  <c r="AE43" i="5"/>
  <c r="AG5" i="5"/>
  <c r="AM5" i="5" s="1"/>
  <c r="AF8" i="5"/>
  <c r="AB11" i="5"/>
  <c r="AX14" i="5"/>
  <c r="AB21" i="5"/>
  <c r="AU22" i="5"/>
  <c r="AZ38" i="5"/>
  <c r="AG43" i="5"/>
  <c r="AV62" i="5"/>
  <c r="AH5" i="5"/>
  <c r="AC11" i="5"/>
  <c r="AD21" i="5"/>
  <c r="AD35" i="5"/>
  <c r="AX40" i="5"/>
  <c r="AG11" i="5"/>
  <c r="AW14" i="5"/>
  <c r="Y18" i="5"/>
  <c r="AQ21" i="5"/>
  <c r="AB26" i="5"/>
  <c r="AV33" i="5"/>
  <c r="AG35" i="5"/>
  <c r="AY5" i="5"/>
  <c r="AP11" i="5"/>
  <c r="AR21" i="5"/>
  <c r="AC26" i="5"/>
  <c r="AH35" i="5"/>
  <c r="Y61" i="5"/>
  <c r="AV5" i="5"/>
  <c r="AU16" i="5"/>
  <c r="AB20" i="5"/>
  <c r="AV21" i="5"/>
  <c r="AH26" i="5"/>
  <c r="Y40" i="5"/>
  <c r="Z40" i="5" s="1"/>
  <c r="Y53" i="5"/>
  <c r="Z53" i="5" s="1"/>
  <c r="AW11" i="5"/>
  <c r="AD20" i="5"/>
  <c r="AP26" i="5"/>
  <c r="AR18" i="5"/>
  <c r="AY26" i="5"/>
  <c r="AQ34" i="5"/>
  <c r="AZ34" i="5"/>
  <c r="AW34" i="5"/>
  <c r="AH34" i="5"/>
  <c r="AG34" i="5"/>
  <c r="AF34" i="5"/>
  <c r="AC34" i="5"/>
  <c r="AB34" i="5"/>
  <c r="AA34" i="5"/>
  <c r="Y60" i="5"/>
  <c r="Z60" i="5" s="1"/>
  <c r="Y64" i="5"/>
  <c r="Z64" i="5" s="1"/>
  <c r="Y42" i="5"/>
  <c r="Z42" i="5" s="1"/>
  <c r="Y59" i="5"/>
  <c r="Z59" i="5" s="1"/>
  <c r="AY37" i="5"/>
  <c r="AS37" i="5"/>
  <c r="AR37" i="5"/>
  <c r="AS30" i="5"/>
  <c r="AY30" i="5"/>
  <c r="AP30" i="5"/>
  <c r="AE30" i="5"/>
  <c r="AC30" i="5"/>
  <c r="AG9" i="5"/>
  <c r="AA17" i="5"/>
  <c r="AA24" i="5"/>
  <c r="AQ25" i="5"/>
  <c r="Z32" i="5"/>
  <c r="AY38" i="5"/>
  <c r="AF43" i="5"/>
  <c r="AV55" i="5"/>
  <c r="Y57" i="5"/>
  <c r="Z57" i="5" s="1"/>
  <c r="AR9" i="5"/>
  <c r="AH17" i="5"/>
  <c r="AS24" i="5"/>
  <c r="AU25" i="5"/>
  <c r="Y28" i="5"/>
  <c r="Z28" i="5" s="1"/>
  <c r="AH43" i="5"/>
  <c r="AV49" i="5"/>
  <c r="AV57" i="5"/>
  <c r="AU9" i="5"/>
  <c r="AA13" i="5"/>
  <c r="AP17" i="5"/>
  <c r="AT24" i="5"/>
  <c r="AV25" i="5"/>
  <c r="AQ36" i="5"/>
  <c r="AF42" i="5"/>
  <c r="AT43" i="5"/>
  <c r="AV9" i="5"/>
  <c r="AB13" i="5"/>
  <c r="AQ17" i="5"/>
  <c r="AW25" i="5"/>
  <c r="AA28" i="5"/>
  <c r="AT36" i="5"/>
  <c r="AC41" i="5"/>
  <c r="AY42" i="5"/>
  <c r="AU43" i="5"/>
  <c r="Z7" i="5"/>
  <c r="Y5" i="5"/>
  <c r="Z5" i="5" s="1"/>
  <c r="AC6" i="5"/>
  <c r="AY8" i="5"/>
  <c r="AZ9" i="5"/>
  <c r="AA12" i="5"/>
  <c r="AC13" i="5"/>
  <c r="AA15" i="5"/>
  <c r="AA16" i="5"/>
  <c r="AX25" i="5"/>
  <c r="AB28" i="5"/>
  <c r="AY36" i="5"/>
  <c r="AS41" i="5"/>
  <c r="AV43" i="5"/>
  <c r="AB64" i="5"/>
  <c r="AE6" i="5"/>
  <c r="AY9" i="5"/>
  <c r="AB12" i="5"/>
  <c r="AG13" i="5"/>
  <c r="AA14" i="5"/>
  <c r="AD15" i="5"/>
  <c r="AB16" i="5"/>
  <c r="AU17" i="5"/>
  <c r="AA19" i="5"/>
  <c r="AV20" i="5"/>
  <c r="AC28" i="5"/>
  <c r="AU41" i="5"/>
  <c r="AW43" i="5"/>
  <c r="AS46" i="5"/>
  <c r="AB61" i="5"/>
  <c r="AG64" i="5"/>
  <c r="AY34" i="5"/>
  <c r="S14" i="4"/>
  <c r="X14" i="4" s="1"/>
  <c r="AF6" i="5"/>
  <c r="Q8" i="5"/>
  <c r="AH13" i="5"/>
  <c r="AD16" i="5"/>
  <c r="AV17" i="5"/>
  <c r="AP19" i="5"/>
  <c r="AF28" i="5"/>
  <c r="Y35" i="5"/>
  <c r="AH40" i="5"/>
  <c r="AX43" i="5"/>
  <c r="AG61" i="5"/>
  <c r="AP13" i="5"/>
  <c r="AG28" i="5"/>
  <c r="AF31" i="5"/>
  <c r="AR40" i="5"/>
  <c r="AY43" i="5"/>
  <c r="AW50" i="5"/>
  <c r="Y56" i="5"/>
  <c r="Z56" i="5" s="1"/>
  <c r="AQ13" i="5"/>
  <c r="AH28" i="5"/>
  <c r="Y34" i="5"/>
  <c r="Z34" i="5" s="1"/>
  <c r="Z39" i="5"/>
  <c r="AS40" i="5"/>
  <c r="AZ43" i="5"/>
  <c r="AU28" i="5"/>
  <c r="AS31" i="5"/>
  <c r="AT33" i="5"/>
  <c r="AV40" i="5"/>
  <c r="Z58" i="5"/>
  <c r="AS14" i="5"/>
  <c r="AU13" i="5"/>
  <c r="AU15" i="5"/>
  <c r="AV16" i="5"/>
  <c r="AR27" i="5"/>
  <c r="AW28" i="5"/>
  <c r="AB45" i="5"/>
  <c r="AS13" i="5"/>
  <c r="S9" i="4"/>
  <c r="X9" i="4" s="1"/>
  <c r="AV14" i="5"/>
  <c r="AX5" i="5"/>
  <c r="AV12" i="5"/>
  <c r="AV13" i="5"/>
  <c r="AV15" i="5"/>
  <c r="AH22" i="5"/>
  <c r="AS27" i="5"/>
  <c r="AX28" i="5"/>
  <c r="AC38" i="5"/>
  <c r="AC45" i="5"/>
  <c r="Y50" i="5"/>
  <c r="Z50" i="5" s="1"/>
  <c r="Y63" i="5"/>
  <c r="Z63" i="5" s="1"/>
  <c r="Y10" i="5"/>
  <c r="AW13" i="5"/>
  <c r="AB25" i="5"/>
  <c r="Y26" i="5"/>
  <c r="AF38" i="5"/>
  <c r="AE45" i="5"/>
  <c r="AR13" i="5"/>
  <c r="AB9" i="5"/>
  <c r="AW12" i="5"/>
  <c r="AA21" i="5"/>
  <c r="AC25" i="5"/>
  <c r="AS28" i="5"/>
  <c r="AT32" i="5"/>
  <c r="AF33" i="5"/>
  <c r="AG38" i="5"/>
  <c r="AB50" i="5"/>
  <c r="AR22" i="5"/>
  <c r="AE25" i="5"/>
  <c r="AS33" i="5"/>
  <c r="AA43" i="5"/>
  <c r="B39" i="6"/>
  <c r="AD9" i="5"/>
  <c r="AD10" i="5"/>
  <c r="AU14" i="5"/>
  <c r="AS22" i="5"/>
  <c r="AU33" i="5"/>
  <c r="AU38" i="5"/>
  <c r="AR39" i="5"/>
  <c r="AB43" i="5"/>
  <c r="AG50" i="5"/>
  <c r="AV60" i="5"/>
  <c r="B40" i="6"/>
  <c r="AC43" i="5"/>
  <c r="Z62" i="5"/>
  <c r="B4" i="6"/>
  <c r="B26" i="6" s="1"/>
  <c r="B36" i="3"/>
  <c r="U15" i="4"/>
  <c r="Y24" i="5"/>
  <c r="Z24" i="5" s="1"/>
  <c r="AO7" i="5"/>
  <c r="AT7" i="5"/>
  <c r="AA10" i="5"/>
  <c r="AZ10" i="5"/>
  <c r="AX18" i="5"/>
  <c r="AF37" i="5"/>
  <c r="AU44" i="5"/>
  <c r="AQ44" i="5"/>
  <c r="AP44" i="5"/>
  <c r="AO44" i="5"/>
  <c r="Q44" i="5"/>
  <c r="AZ44" i="5"/>
  <c r="AY44" i="5"/>
  <c r="AX44" i="5"/>
  <c r="AV44" i="5"/>
  <c r="AR44" i="5"/>
  <c r="AH44" i="5"/>
  <c r="AG44" i="5"/>
  <c r="AF44" i="5"/>
  <c r="AE44" i="5"/>
  <c r="AD44" i="5"/>
  <c r="AB44" i="5"/>
  <c r="AZ47" i="5"/>
  <c r="AF47" i="5"/>
  <c r="AY47" i="5"/>
  <c r="AE47" i="5"/>
  <c r="AU47" i="5"/>
  <c r="AA47" i="5"/>
  <c r="AQ47" i="5"/>
  <c r="AP47" i="5"/>
  <c r="AO47" i="5"/>
  <c r="Q47" i="5"/>
  <c r="AH47" i="5"/>
  <c r="AG47" i="5"/>
  <c r="AD47" i="5"/>
  <c r="AB47" i="5"/>
  <c r="AX47" i="5"/>
  <c r="AW47" i="5"/>
  <c r="AV47" i="5"/>
  <c r="AT47" i="5"/>
  <c r="AS47" i="5"/>
  <c r="AR47" i="5"/>
  <c r="Q16" i="4"/>
  <c r="AA5" i="5"/>
  <c r="AW5" i="5"/>
  <c r="AD6" i="5"/>
  <c r="AZ6" i="5"/>
  <c r="AG7" i="5"/>
  <c r="AS9" i="5"/>
  <c r="AB10" i="5"/>
  <c r="Y20" i="5"/>
  <c r="Z20" i="5" s="1"/>
  <c r="AO20" i="5"/>
  <c r="AZ20" i="5"/>
  <c r="AF20" i="5"/>
  <c r="AY20" i="5"/>
  <c r="AE20" i="5"/>
  <c r="AW20" i="5"/>
  <c r="AC20" i="5"/>
  <c r="AT20" i="5"/>
  <c r="AP24" i="5"/>
  <c r="AP27" i="5"/>
  <c r="AE35" i="5"/>
  <c r="AE41" i="5"/>
  <c r="AP23" i="5"/>
  <c r="AO23" i="5"/>
  <c r="AH23" i="5"/>
  <c r="AF23" i="5"/>
  <c r="AZ23" i="5"/>
  <c r="AE23" i="5"/>
  <c r="AY23" i="5"/>
  <c r="AD23" i="5"/>
  <c r="AX23" i="5"/>
  <c r="AC23" i="5"/>
  <c r="AU23" i="5"/>
  <c r="AD5" i="5"/>
  <c r="AZ5" i="5"/>
  <c r="AG6" i="5"/>
  <c r="AW9" i="5"/>
  <c r="AA18" i="5"/>
  <c r="AQ19" i="5"/>
  <c r="AS21" i="5"/>
  <c r="AU24" i="5"/>
  <c r="Z26" i="5"/>
  <c r="Q26" i="5"/>
  <c r="AV26" i="5"/>
  <c r="AA26" i="5"/>
  <c r="AU26" i="5"/>
  <c r="AO26" i="5"/>
  <c r="AF26" i="5"/>
  <c r="AT27" i="5"/>
  <c r="Q31" i="5"/>
  <c r="AP31" i="5"/>
  <c r="AO31" i="5"/>
  <c r="AG31" i="5"/>
  <c r="AE31" i="5"/>
  <c r="AZ31" i="5"/>
  <c r="AD31" i="5"/>
  <c r="AY31" i="5"/>
  <c r="AC31" i="5"/>
  <c r="AX31" i="5"/>
  <c r="AB31" i="5"/>
  <c r="AW31" i="5"/>
  <c r="AA31" i="5"/>
  <c r="AU31" i="5"/>
  <c r="AT31" i="5"/>
  <c r="AR31" i="5"/>
  <c r="AU37" i="5"/>
  <c r="AV41" i="5"/>
  <c r="AZ48" i="5"/>
  <c r="AF48" i="5"/>
  <c r="AY48" i="5"/>
  <c r="AE48" i="5"/>
  <c r="AX48" i="5"/>
  <c r="AD48" i="5"/>
  <c r="AU48" i="5"/>
  <c r="AA48" i="5"/>
  <c r="AQ48" i="5"/>
  <c r="AP48" i="5"/>
  <c r="AO48" i="5"/>
  <c r="Q48" i="5"/>
  <c r="AW48" i="5"/>
  <c r="AS48" i="5"/>
  <c r="AH48" i="5"/>
  <c r="AG48" i="5"/>
  <c r="AC48" i="5"/>
  <c r="AB48" i="5"/>
  <c r="AZ51" i="5"/>
  <c r="AF51" i="5"/>
  <c r="AY51" i="5"/>
  <c r="AE51" i="5"/>
  <c r="AX51" i="5"/>
  <c r="AD51" i="5"/>
  <c r="AU51" i="5"/>
  <c r="AA51" i="5"/>
  <c r="AR51" i="5"/>
  <c r="AQ51" i="5"/>
  <c r="AP51" i="5"/>
  <c r="AO51" i="5"/>
  <c r="Q51" i="5"/>
  <c r="AW51" i="5"/>
  <c r="AV51" i="5"/>
  <c r="AT51" i="5"/>
  <c r="AS51" i="5"/>
  <c r="AH51" i="5"/>
  <c r="AC51" i="5"/>
  <c r="AZ59" i="5"/>
  <c r="AF59" i="5"/>
  <c r="AY59" i="5"/>
  <c r="AE59" i="5"/>
  <c r="AX59" i="5"/>
  <c r="AD59" i="5"/>
  <c r="AW59" i="5"/>
  <c r="AC59" i="5"/>
  <c r="AU59" i="5"/>
  <c r="AA59" i="5"/>
  <c r="AT59" i="5"/>
  <c r="AR59" i="5"/>
  <c r="AQ59" i="5"/>
  <c r="AP59" i="5"/>
  <c r="AO59" i="5"/>
  <c r="Q59" i="5"/>
  <c r="AS59" i="5"/>
  <c r="AH59" i="5"/>
  <c r="AG59" i="5"/>
  <c r="AB59" i="5"/>
  <c r="Q29" i="5"/>
  <c r="AH29" i="5"/>
  <c r="AG29" i="5"/>
  <c r="AW29" i="5"/>
  <c r="AA29" i="5"/>
  <c r="AU29" i="5"/>
  <c r="AT29" i="5"/>
  <c r="AS29" i="5"/>
  <c r="AR29" i="5"/>
  <c r="AO29" i="5"/>
  <c r="Z9" i="5"/>
  <c r="Q21" i="5"/>
  <c r="Q6" i="4"/>
  <c r="Q11" i="4"/>
  <c r="AF10" i="5"/>
  <c r="AE5" i="5"/>
  <c r="AH6" i="5"/>
  <c r="AA9" i="5"/>
  <c r="AG10" i="5"/>
  <c r="Q11" i="5"/>
  <c r="AO12" i="5"/>
  <c r="AZ12" i="5"/>
  <c r="AF12" i="5"/>
  <c r="AY12" i="5"/>
  <c r="AE12" i="5"/>
  <c r="AT12" i="5"/>
  <c r="Y14" i="5"/>
  <c r="Z14" i="5" s="1"/>
  <c r="Y16" i="5"/>
  <c r="Z16" i="5" s="1"/>
  <c r="AO16" i="5"/>
  <c r="AZ16" i="5"/>
  <c r="AF16" i="5"/>
  <c r="AY16" i="5"/>
  <c r="AE16" i="5"/>
  <c r="AW16" i="5"/>
  <c r="AC16" i="5"/>
  <c r="AT16" i="5"/>
  <c r="AB18" i="5"/>
  <c r="Q19" i="5"/>
  <c r="AR19" i="5"/>
  <c r="AU21" i="5"/>
  <c r="Y23" i="5"/>
  <c r="Z23" i="5" s="1"/>
  <c r="AU27" i="5"/>
  <c r="AU34" i="5"/>
  <c r="AQ35" i="5"/>
  <c r="AV37" i="5"/>
  <c r="AH39" i="5"/>
  <c r="AX41" i="5"/>
  <c r="AA44" i="5"/>
  <c r="AZ46" i="5"/>
  <c r="AF46" i="5"/>
  <c r="AU46" i="5"/>
  <c r="AA46" i="5"/>
  <c r="AQ46" i="5"/>
  <c r="AP46" i="5"/>
  <c r="AO46" i="5"/>
  <c r="Q46" i="5"/>
  <c r="AW46" i="5"/>
  <c r="AV46" i="5"/>
  <c r="AT46" i="5"/>
  <c r="AR46" i="5"/>
  <c r="AH46" i="5"/>
  <c r="AG46" i="5"/>
  <c r="AE46" i="5"/>
  <c r="AD46" i="5"/>
  <c r="AC46" i="5"/>
  <c r="AB46" i="5"/>
  <c r="AY46" i="5"/>
  <c r="AZ56" i="5"/>
  <c r="AF56" i="5"/>
  <c r="AY56" i="5"/>
  <c r="AE56" i="5"/>
  <c r="AX56" i="5"/>
  <c r="AD56" i="5"/>
  <c r="AW56" i="5"/>
  <c r="AC56" i="5"/>
  <c r="AU56" i="5"/>
  <c r="AA56" i="5"/>
  <c r="AT56" i="5"/>
  <c r="AR56" i="5"/>
  <c r="AQ56" i="5"/>
  <c r="AP56" i="5"/>
  <c r="AO56" i="5"/>
  <c r="Q56" i="5"/>
  <c r="AS56" i="5"/>
  <c r="AH56" i="5"/>
  <c r="AG56" i="5"/>
  <c r="AB56" i="5"/>
  <c r="AF5" i="5"/>
  <c r="AI6" i="5"/>
  <c r="Q7" i="5"/>
  <c r="AH10" i="5"/>
  <c r="AR11" i="5"/>
  <c r="AD18" i="5"/>
  <c r="AS19" i="5"/>
  <c r="AA23" i="5"/>
  <c r="Q24" i="5"/>
  <c r="AR24" i="5"/>
  <c r="AQ24" i="5"/>
  <c r="AH24" i="5"/>
  <c r="AG24" i="5"/>
  <c r="AF24" i="5"/>
  <c r="AZ24" i="5"/>
  <c r="AE24" i="5"/>
  <c r="AW24" i="5"/>
  <c r="AB24" i="5"/>
  <c r="AX24" i="5"/>
  <c r="AV27" i="5"/>
  <c r="Z29" i="5"/>
  <c r="AC44" i="5"/>
  <c r="Z18" i="5"/>
  <c r="Q13" i="4"/>
  <c r="AM7" i="5"/>
  <c r="AU8" i="5"/>
  <c r="AS11" i="5"/>
  <c r="Q13" i="5"/>
  <c r="AO14" i="5"/>
  <c r="AZ14" i="5"/>
  <c r="AF14" i="5"/>
  <c r="AY14" i="5"/>
  <c r="AE14" i="5"/>
  <c r="AT14" i="5"/>
  <c r="Q17" i="5"/>
  <c r="AR17" i="5"/>
  <c r="AG18" i="5"/>
  <c r="AU19" i="5"/>
  <c r="AB23" i="5"/>
  <c r="AY24" i="5"/>
  <c r="AY27" i="5"/>
  <c r="AB29" i="5"/>
  <c r="Q30" i="5"/>
  <c r="AZ30" i="5"/>
  <c r="AD30" i="5"/>
  <c r="AX30" i="5"/>
  <c r="AB30" i="5"/>
  <c r="AW30" i="5"/>
  <c r="AA30" i="5"/>
  <c r="AV30" i="5"/>
  <c r="AU30" i="5"/>
  <c r="AT30" i="5"/>
  <c r="AR30" i="5"/>
  <c r="AQ30" i="5"/>
  <c r="AX34" i="5"/>
  <c r="AW38" i="5"/>
  <c r="AZ53" i="5"/>
  <c r="AF53" i="5"/>
  <c r="AY53" i="5"/>
  <c r="AE53" i="5"/>
  <c r="AX53" i="5"/>
  <c r="AD53" i="5"/>
  <c r="AU53" i="5"/>
  <c r="AA53" i="5"/>
  <c r="AT53" i="5"/>
  <c r="AR53" i="5"/>
  <c r="AQ53" i="5"/>
  <c r="AP53" i="5"/>
  <c r="AO53" i="5"/>
  <c r="Q53" i="5"/>
  <c r="AW53" i="5"/>
  <c r="AS53" i="5"/>
  <c r="AH53" i="5"/>
  <c r="AG53" i="5"/>
  <c r="AC53" i="5"/>
  <c r="AB53" i="5"/>
  <c r="Q8" i="4"/>
  <c r="AN10" i="5"/>
  <c r="AN8" i="5"/>
  <c r="AN7" i="5"/>
  <c r="AN6" i="5"/>
  <c r="AN5" i="5"/>
  <c r="AV8" i="5"/>
  <c r="AU11" i="5"/>
  <c r="AS17" i="5"/>
  <c r="AH18" i="5"/>
  <c r="AV19" i="5"/>
  <c r="AG23" i="5"/>
  <c r="AC29" i="5"/>
  <c r="Q32" i="5"/>
  <c r="AS32" i="5"/>
  <c r="AR32" i="5"/>
  <c r="AH32" i="5"/>
  <c r="AG32" i="5"/>
  <c r="AF32" i="5"/>
  <c r="AE32" i="5"/>
  <c r="AZ32" i="5"/>
  <c r="AD32" i="5"/>
  <c r="AX32" i="5"/>
  <c r="AB32" i="5"/>
  <c r="AW32" i="5"/>
  <c r="AA32" i="5"/>
  <c r="AU32" i="5"/>
  <c r="AS44" i="5"/>
  <c r="AP7" i="5"/>
  <c r="AI5" i="5"/>
  <c r="Q6" i="5"/>
  <c r="AQ7" i="5"/>
  <c r="Y8" i="5"/>
  <c r="Z8" i="5" s="1"/>
  <c r="AW8" i="5"/>
  <c r="AV11" i="5"/>
  <c r="AD14" i="5"/>
  <c r="Q15" i="5"/>
  <c r="AG16" i="5"/>
  <c r="AO21" i="5"/>
  <c r="AZ21" i="5"/>
  <c r="AF21" i="5"/>
  <c r="AY21" i="5"/>
  <c r="AE21" i="5"/>
  <c r="AX21" i="5"/>
  <c r="AW21" i="5"/>
  <c r="AC21" i="5"/>
  <c r="AT21" i="5"/>
  <c r="AE26" i="5"/>
  <c r="AD29" i="5"/>
  <c r="Y31" i="5"/>
  <c r="Z31" i="5" s="1"/>
  <c r="AP36" i="5"/>
  <c r="AO36" i="5"/>
  <c r="Q36" i="5"/>
  <c r="AS36" i="5"/>
  <c r="AR36" i="5"/>
  <c r="AH36" i="5"/>
  <c r="AF36" i="5"/>
  <c r="AE36" i="5"/>
  <c r="AD36" i="5"/>
  <c r="AC36" i="5"/>
  <c r="AZ36" i="5"/>
  <c r="AB36" i="5"/>
  <c r="AX36" i="5"/>
  <c r="AW36" i="5"/>
  <c r="AU36" i="5"/>
  <c r="AT44" i="5"/>
  <c r="Z48" i="5"/>
  <c r="AM6" i="5"/>
  <c r="AR7" i="5"/>
  <c r="AX8" i="5"/>
  <c r="AO9" i="5"/>
  <c r="AT9" i="5"/>
  <c r="AG14" i="5"/>
  <c r="AH16" i="5"/>
  <c r="Y21" i="5"/>
  <c r="Z21" i="5" s="1"/>
  <c r="AG26" i="5"/>
  <c r="AE29" i="5"/>
  <c r="AP33" i="5"/>
  <c r="AO33" i="5"/>
  <c r="Q33" i="5"/>
  <c r="AX33" i="5"/>
  <c r="AW33" i="5"/>
  <c r="AQ33" i="5"/>
  <c r="AH33" i="5"/>
  <c r="AG33" i="5"/>
  <c r="AE33" i="5"/>
  <c r="AD33" i="5"/>
  <c r="AZ33" i="5"/>
  <c r="AB33" i="5"/>
  <c r="AP35" i="5"/>
  <c r="AO35" i="5"/>
  <c r="Q35" i="5"/>
  <c r="AF35" i="5"/>
  <c r="AC35" i="5"/>
  <c r="AY35" i="5"/>
  <c r="AA35" i="5"/>
  <c r="AX35" i="5"/>
  <c r="AW35" i="5"/>
  <c r="AV35" i="5"/>
  <c r="AU35" i="5"/>
  <c r="AS35" i="5"/>
  <c r="AR35" i="5"/>
  <c r="AQ39" i="5"/>
  <c r="AP39" i="5"/>
  <c r="AO39" i="5"/>
  <c r="Q39" i="5"/>
  <c r="AF39" i="5"/>
  <c r="AC39" i="5"/>
  <c r="AZ39" i="5"/>
  <c r="AA39" i="5"/>
  <c r="AY39" i="5"/>
  <c r="AX39" i="5"/>
  <c r="AW39" i="5"/>
  <c r="AV39" i="5"/>
  <c r="AU39" i="5"/>
  <c r="AT39" i="5"/>
  <c r="AS39" i="5"/>
  <c r="AW44" i="5"/>
  <c r="AU45" i="5"/>
  <c r="AA45" i="5"/>
  <c r="AQ45" i="5"/>
  <c r="AP45" i="5"/>
  <c r="AO45" i="5"/>
  <c r="Q45" i="5"/>
  <c r="AH45" i="5"/>
  <c r="AG45" i="5"/>
  <c r="AF45" i="5"/>
  <c r="AD45" i="5"/>
  <c r="AY45" i="5"/>
  <c r="AX45" i="5"/>
  <c r="AW45" i="5"/>
  <c r="AV45" i="5"/>
  <c r="AT45" i="5"/>
  <c r="AS45" i="5"/>
  <c r="AR45" i="5"/>
  <c r="AR48" i="5"/>
  <c r="AS7" i="5"/>
  <c r="Q22" i="5"/>
  <c r="Q27" i="5"/>
  <c r="AX27" i="5"/>
  <c r="AC27" i="5"/>
  <c r="AW27" i="5"/>
  <c r="AB27" i="5"/>
  <c r="AQ27" i="5"/>
  <c r="AO27" i="5"/>
  <c r="AH27" i="5"/>
  <c r="AF29" i="5"/>
  <c r="AT48" i="5"/>
  <c r="AZ58" i="5"/>
  <c r="AF58" i="5"/>
  <c r="AY58" i="5"/>
  <c r="AE58" i="5"/>
  <c r="AX58" i="5"/>
  <c r="AD58" i="5"/>
  <c r="AW58" i="5"/>
  <c r="AC58" i="5"/>
  <c r="AU58" i="5"/>
  <c r="AA58" i="5"/>
  <c r="AT58" i="5"/>
  <c r="AR58" i="5"/>
  <c r="AQ58" i="5"/>
  <c r="AP58" i="5"/>
  <c r="AO58" i="5"/>
  <c r="Q58" i="5"/>
  <c r="AS58" i="5"/>
  <c r="AH58" i="5"/>
  <c r="AG58" i="5"/>
  <c r="AB58" i="5"/>
  <c r="Q5" i="4"/>
  <c r="Q10" i="4"/>
  <c r="S15" i="4"/>
  <c r="X15" i="4" s="1"/>
  <c r="AU7" i="5"/>
  <c r="Q10" i="5"/>
  <c r="AP10" i="5"/>
  <c r="Y11" i="5"/>
  <c r="Z11" i="5" s="1"/>
  <c r="Y19" i="5"/>
  <c r="Z19" i="5" s="1"/>
  <c r="AO19" i="5"/>
  <c r="AZ19" i="5"/>
  <c r="AF19" i="5"/>
  <c r="AY19" i="5"/>
  <c r="AE19" i="5"/>
  <c r="AW19" i="5"/>
  <c r="AC19" i="5"/>
  <c r="AT19" i="5"/>
  <c r="AV48" i="5"/>
  <c r="AZ55" i="5"/>
  <c r="AF55" i="5"/>
  <c r="AY55" i="5"/>
  <c r="AE55" i="5"/>
  <c r="AX55" i="5"/>
  <c r="AD55" i="5"/>
  <c r="AW55" i="5"/>
  <c r="AC55" i="5"/>
  <c r="AU55" i="5"/>
  <c r="AA55" i="5"/>
  <c r="AT55" i="5"/>
  <c r="AR55" i="5"/>
  <c r="AQ55" i="5"/>
  <c r="AP55" i="5"/>
  <c r="AO55" i="5"/>
  <c r="Q55" i="5"/>
  <c r="AS55" i="5"/>
  <c r="AH55" i="5"/>
  <c r="AG55" i="5"/>
  <c r="AB55" i="5"/>
  <c r="AQ41" i="5"/>
  <c r="AP41" i="5"/>
  <c r="AO41" i="5"/>
  <c r="Q41" i="5"/>
  <c r="AB41" i="5"/>
  <c r="AZ41" i="5"/>
  <c r="AA41" i="5"/>
  <c r="AW41" i="5"/>
  <c r="AT41" i="5"/>
  <c r="AR41" i="5"/>
  <c r="AH41" i="5"/>
  <c r="AG41" i="5"/>
  <c r="AF41" i="5"/>
  <c r="AD41" i="5"/>
  <c r="AO10" i="5"/>
  <c r="AY10" i="5"/>
  <c r="AE10" i="5"/>
  <c r="AT10" i="5"/>
  <c r="AP5" i="5"/>
  <c r="AS6" i="5"/>
  <c r="AW7" i="5"/>
  <c r="AR10" i="5"/>
  <c r="AO11" i="5"/>
  <c r="AZ11" i="5"/>
  <c r="AF11" i="5"/>
  <c r="AY11" i="5"/>
  <c r="AE11" i="5"/>
  <c r="AT11" i="5"/>
  <c r="Y13" i="5"/>
  <c r="Z13" i="5" s="1"/>
  <c r="Y17" i="5"/>
  <c r="Z17" i="5" s="1"/>
  <c r="AO17" i="5"/>
  <c r="AZ17" i="5"/>
  <c r="AF17" i="5"/>
  <c r="AY17" i="5"/>
  <c r="AE17" i="5"/>
  <c r="AW17" i="5"/>
  <c r="AC17" i="5"/>
  <c r="AT17" i="5"/>
  <c r="AP18" i="5"/>
  <c r="AB19" i="5"/>
  <c r="Q20" i="5"/>
  <c r="AR20" i="5"/>
  <c r="AG21" i="5"/>
  <c r="AQ23" i="5"/>
  <c r="AC24" i="5"/>
  <c r="Q25" i="5"/>
  <c r="AT25" i="5"/>
  <c r="AS25" i="5"/>
  <c r="AH25" i="5"/>
  <c r="AG25" i="5"/>
  <c r="AY25" i="5"/>
  <c r="AD25" i="5"/>
  <c r="AZ25" i="5"/>
  <c r="AQ26" i="5"/>
  <c r="AA27" i="5"/>
  <c r="AF30" i="5"/>
  <c r="AH31" i="5"/>
  <c r="AC32" i="5"/>
  <c r="Y33" i="5"/>
  <c r="Z33" i="5" s="1"/>
  <c r="AQ40" i="5"/>
  <c r="AP40" i="5"/>
  <c r="AO40" i="5"/>
  <c r="Q40" i="5"/>
  <c r="AU40" i="5"/>
  <c r="AT40" i="5"/>
  <c r="AG40" i="5"/>
  <c r="AF40" i="5"/>
  <c r="AE40" i="5"/>
  <c r="AD40" i="5"/>
  <c r="AC40" i="5"/>
  <c r="AB40" i="5"/>
  <c r="AZ40" i="5"/>
  <c r="AA40" i="5"/>
  <c r="AY40" i="5"/>
  <c r="AW40" i="5"/>
  <c r="AP37" i="5"/>
  <c r="AO37" i="5"/>
  <c r="Q37" i="5"/>
  <c r="AX37" i="5"/>
  <c r="AW37" i="5"/>
  <c r="AT37" i="5"/>
  <c r="AQ37" i="5"/>
  <c r="AH37" i="5"/>
  <c r="AG37" i="5"/>
  <c r="AE37" i="5"/>
  <c r="AD37" i="5"/>
  <c r="AZ37" i="5"/>
  <c r="AB37" i="5"/>
  <c r="AQ5" i="5"/>
  <c r="AT6" i="5"/>
  <c r="AA7" i="5"/>
  <c r="AX7" i="5"/>
  <c r="AO8" i="5"/>
  <c r="AT8" i="5"/>
  <c r="AS10" i="5"/>
  <c r="AP12" i="5"/>
  <c r="AQ18" i="5"/>
  <c r="AD19" i="5"/>
  <c r="AS20" i="5"/>
  <c r="AH21" i="5"/>
  <c r="AR23" i="5"/>
  <c r="AD24" i="5"/>
  <c r="Y25" i="5"/>
  <c r="Z25" i="5" s="1"/>
  <c r="AR26" i="5"/>
  <c r="AD27" i="5"/>
  <c r="AP29" i="5"/>
  <c r="AG30" i="5"/>
  <c r="AA33" i="5"/>
  <c r="AC47" i="5"/>
  <c r="AZ52" i="5"/>
  <c r="AF52" i="5"/>
  <c r="AY52" i="5"/>
  <c r="AE52" i="5"/>
  <c r="AX52" i="5"/>
  <c r="AD52" i="5"/>
  <c r="AU52" i="5"/>
  <c r="AA52" i="5"/>
  <c r="AT52" i="5"/>
  <c r="AR52" i="5"/>
  <c r="AQ52" i="5"/>
  <c r="AP52" i="5"/>
  <c r="AO52" i="5"/>
  <c r="Q52" i="5"/>
  <c r="AW52" i="5"/>
  <c r="AV52" i="5"/>
  <c r="AS52" i="5"/>
  <c r="AH52" i="5"/>
  <c r="AG52" i="5"/>
  <c r="AC52" i="5"/>
  <c r="AB52" i="5"/>
  <c r="Q7" i="4"/>
  <c r="Q12" i="4"/>
  <c r="AR5" i="5"/>
  <c r="AU6" i="5"/>
  <c r="AB7" i="5"/>
  <c r="AY7" i="5"/>
  <c r="AG8" i="5"/>
  <c r="AU10" i="5"/>
  <c r="AD11" i="5"/>
  <c r="Q12" i="5"/>
  <c r="AQ12" i="5"/>
  <c r="AO13" i="5"/>
  <c r="AZ13" i="5"/>
  <c r="AF13" i="5"/>
  <c r="AY13" i="5"/>
  <c r="AE13" i="5"/>
  <c r="AT13" i="5"/>
  <c r="Y15" i="5"/>
  <c r="Z15" i="5" s="1"/>
  <c r="AO15" i="5"/>
  <c r="AZ15" i="5"/>
  <c r="AF15" i="5"/>
  <c r="AY15" i="5"/>
  <c r="AE15" i="5"/>
  <c r="AW15" i="5"/>
  <c r="AC15" i="5"/>
  <c r="AT15" i="5"/>
  <c r="AP16" i="5"/>
  <c r="AB17" i="5"/>
  <c r="Q18" i="5"/>
  <c r="AG19" i="5"/>
  <c r="AU20" i="5"/>
  <c r="AO22" i="5"/>
  <c r="AZ22" i="5"/>
  <c r="AF22" i="5"/>
  <c r="AY22" i="5"/>
  <c r="AE22" i="5"/>
  <c r="AX22" i="5"/>
  <c r="AD22" i="5"/>
  <c r="AW22" i="5"/>
  <c r="AC22" i="5"/>
  <c r="AT22" i="5"/>
  <c r="AS23" i="5"/>
  <c r="AS26" i="5"/>
  <c r="AE27" i="5"/>
  <c r="AQ29" i="5"/>
  <c r="AH30" i="5"/>
  <c r="AC33" i="5"/>
  <c r="AO18" i="5"/>
  <c r="AZ18" i="5"/>
  <c r="AF18" i="5"/>
  <c r="AY18" i="5"/>
  <c r="AE18" i="5"/>
  <c r="AW18" i="5"/>
  <c r="AC18" i="5"/>
  <c r="AT18" i="5"/>
  <c r="Q9" i="5"/>
  <c r="AV10" i="5"/>
  <c r="AS18" i="5"/>
  <c r="AH19" i="5"/>
  <c r="AT23" i="5"/>
  <c r="AF27" i="5"/>
  <c r="AV29" i="5"/>
  <c r="Y36" i="5"/>
  <c r="Z36" i="5" s="1"/>
  <c r="Y37" i="5"/>
  <c r="Z37" i="5" s="1"/>
  <c r="Y46" i="5"/>
  <c r="Z46" i="5" s="1"/>
  <c r="AZ60" i="5"/>
  <c r="AF60" i="5"/>
  <c r="AY60" i="5"/>
  <c r="AE60" i="5"/>
  <c r="AX60" i="5"/>
  <c r="AD60" i="5"/>
  <c r="AW60" i="5"/>
  <c r="AC60" i="5"/>
  <c r="AU60" i="5"/>
  <c r="AA60" i="5"/>
  <c r="AT60" i="5"/>
  <c r="AR60" i="5"/>
  <c r="AQ60" i="5"/>
  <c r="AP60" i="5"/>
  <c r="AO60" i="5"/>
  <c r="Q60" i="5"/>
  <c r="AS60" i="5"/>
  <c r="AH60" i="5"/>
  <c r="AG60" i="5"/>
  <c r="AB60" i="5"/>
  <c r="Y12" i="5"/>
  <c r="Z12" i="5" s="1"/>
  <c r="AT5" i="5"/>
  <c r="AA6" i="5"/>
  <c r="AW6" i="5"/>
  <c r="AD7" i="5"/>
  <c r="AP9" i="5"/>
  <c r="Z10" i="5"/>
  <c r="AW10" i="5"/>
  <c r="AH11" i="5"/>
  <c r="AN12" i="5" s="1"/>
  <c r="AS12" i="5"/>
  <c r="AD13" i="5"/>
  <c r="Q14" i="5"/>
  <c r="AQ14" i="5"/>
  <c r="AB15" i="5"/>
  <c r="Q16" i="5"/>
  <c r="AR16" i="5"/>
  <c r="AG17" i="5"/>
  <c r="AU18" i="5"/>
  <c r="AX20" i="5"/>
  <c r="Y22" i="5"/>
  <c r="Z22" i="5" s="1"/>
  <c r="Q23" i="5"/>
  <c r="AV23" i="5"/>
  <c r="AW26" i="5"/>
  <c r="AG27" i="5"/>
  <c r="Q28" i="5"/>
  <c r="AE28" i="5"/>
  <c r="AZ28" i="5"/>
  <c r="AD28" i="5"/>
  <c r="AT28" i="5"/>
  <c r="AR28" i="5"/>
  <c r="AQ28" i="5"/>
  <c r="AP28" i="5"/>
  <c r="AO28" i="5"/>
  <c r="AX29" i="5"/>
  <c r="AO32" i="5"/>
  <c r="Z35" i="5"/>
  <c r="AA36" i="5"/>
  <c r="AA37" i="5"/>
  <c r="AZ57" i="5"/>
  <c r="AF57" i="5"/>
  <c r="AY57" i="5"/>
  <c r="AE57" i="5"/>
  <c r="AX57" i="5"/>
  <c r="AD57" i="5"/>
  <c r="AW57" i="5"/>
  <c r="AC57" i="5"/>
  <c r="AU57" i="5"/>
  <c r="AA57" i="5"/>
  <c r="AT57" i="5"/>
  <c r="AR57" i="5"/>
  <c r="AQ57" i="5"/>
  <c r="AP57" i="5"/>
  <c r="AO57" i="5"/>
  <c r="Q57" i="5"/>
  <c r="AS57" i="5"/>
  <c r="AH57" i="5"/>
  <c r="AG57" i="5"/>
  <c r="AB57" i="5"/>
  <c r="AV7" i="5"/>
  <c r="AS5" i="5"/>
  <c r="AV6" i="5"/>
  <c r="AC7" i="5"/>
  <c r="AI9" i="5" s="1"/>
  <c r="AZ7" i="5"/>
  <c r="AU5" i="5"/>
  <c r="AB6" i="5"/>
  <c r="AX6" i="5"/>
  <c r="AE7" i="5"/>
  <c r="AQ9" i="5"/>
  <c r="AX10" i="5"/>
  <c r="AU12" i="5"/>
  <c r="AR14" i="5"/>
  <c r="AS16" i="5"/>
  <c r="AV18" i="5"/>
  <c r="AW23" i="5"/>
  <c r="AA25" i="5"/>
  <c r="AX26" i="5"/>
  <c r="AY29" i="5"/>
  <c r="AO30" i="5"/>
  <c r="AQ31" i="5"/>
  <c r="AP32" i="5"/>
  <c r="AR33" i="5"/>
  <c r="AB35" i="5"/>
  <c r="AG36" i="5"/>
  <c r="AC37" i="5"/>
  <c r="AZ49" i="5"/>
  <c r="AF49" i="5"/>
  <c r="AY49" i="5"/>
  <c r="AE49" i="5"/>
  <c r="AX49" i="5"/>
  <c r="AD49" i="5"/>
  <c r="AU49" i="5"/>
  <c r="AA49" i="5"/>
  <c r="AQ49" i="5"/>
  <c r="AP49" i="5"/>
  <c r="AO49" i="5"/>
  <c r="Q49" i="5"/>
  <c r="AT49" i="5"/>
  <c r="AS49" i="5"/>
  <c r="AR49" i="5"/>
  <c r="AH49" i="5"/>
  <c r="AC49" i="5"/>
  <c r="AB49" i="5"/>
  <c r="AW49" i="5"/>
  <c r="AZ54" i="5"/>
  <c r="AF54" i="5"/>
  <c r="AY54" i="5"/>
  <c r="AE54" i="5"/>
  <c r="AX54" i="5"/>
  <c r="AD54" i="5"/>
  <c r="AW54" i="5"/>
  <c r="AU54" i="5"/>
  <c r="AA54" i="5"/>
  <c r="AT54" i="5"/>
  <c r="AR54" i="5"/>
  <c r="AQ54" i="5"/>
  <c r="AP54" i="5"/>
  <c r="AO54" i="5"/>
  <c r="Q54" i="5"/>
  <c r="AV54" i="5"/>
  <c r="AS54" i="5"/>
  <c r="AH54" i="5"/>
  <c r="AG54" i="5"/>
  <c r="AC54" i="5"/>
  <c r="AB54" i="5"/>
  <c r="AZ61" i="5"/>
  <c r="AF61" i="5"/>
  <c r="AY61" i="5"/>
  <c r="AE61" i="5"/>
  <c r="AX61" i="5"/>
  <c r="AD61" i="5"/>
  <c r="AW61" i="5"/>
  <c r="AC61" i="5"/>
  <c r="AU61" i="5"/>
  <c r="AA61" i="5"/>
  <c r="AT61" i="5"/>
  <c r="AR61" i="5"/>
  <c r="AQ61" i="5"/>
  <c r="AP61" i="5"/>
  <c r="AO61" i="5"/>
  <c r="Q61" i="5"/>
  <c r="AQ42" i="5"/>
  <c r="AP42" i="5"/>
  <c r="AO42" i="5"/>
  <c r="Q42" i="5"/>
  <c r="AS42" i="5"/>
  <c r="AT42" i="5"/>
  <c r="Y30" i="5"/>
  <c r="Z30" i="5" s="1"/>
  <c r="AU42" i="5"/>
  <c r="Y49" i="5"/>
  <c r="Z49" i="5" s="1"/>
  <c r="AB63" i="5"/>
  <c r="AP34" i="5"/>
  <c r="AO34" i="5"/>
  <c r="Q34" i="5"/>
  <c r="AR34" i="5"/>
  <c r="AP38" i="5"/>
  <c r="AO38" i="5"/>
  <c r="Q38" i="5"/>
  <c r="AR38" i="5"/>
  <c r="AV42" i="5"/>
  <c r="AZ50" i="5"/>
  <c r="AF50" i="5"/>
  <c r="AY50" i="5"/>
  <c r="AE50" i="5"/>
  <c r="AX50" i="5"/>
  <c r="AD50" i="5"/>
  <c r="AU50" i="5"/>
  <c r="AA50" i="5"/>
  <c r="AR50" i="5"/>
  <c r="AQ50" i="5"/>
  <c r="AP50" i="5"/>
  <c r="AO50" i="5"/>
  <c r="Q50" i="5"/>
  <c r="AG63" i="5"/>
  <c r="AS34" i="5"/>
  <c r="AS38" i="5"/>
  <c r="AW42" i="5"/>
  <c r="AD43" i="5"/>
  <c r="AT34" i="5"/>
  <c r="AT38" i="5"/>
  <c r="AX42" i="5"/>
  <c r="Z55" i="5"/>
  <c r="Z61" i="5"/>
  <c r="AH64" i="5"/>
  <c r="AZ64" i="5"/>
  <c r="AF64" i="5"/>
  <c r="AY64" i="5"/>
  <c r="AE64" i="5"/>
  <c r="AX64" i="5"/>
  <c r="AD64" i="5"/>
  <c r="AW64" i="5"/>
  <c r="AC64" i="5"/>
  <c r="AU64" i="5"/>
  <c r="AA64" i="5"/>
  <c r="AT64" i="5"/>
  <c r="AS64" i="5"/>
  <c r="AR64" i="5"/>
  <c r="AQ64" i="5"/>
  <c r="AP64" i="5"/>
  <c r="AO64" i="5"/>
  <c r="Q64" i="5"/>
  <c r="AV34" i="5"/>
  <c r="AV38" i="5"/>
  <c r="AA42" i="5"/>
  <c r="AZ42" i="5"/>
  <c r="B42" i="6"/>
  <c r="B44" i="6" s="1"/>
  <c r="B19" i="6"/>
  <c r="B20" i="6" s="1"/>
  <c r="B41" i="6"/>
  <c r="B43" i="6" s="1"/>
  <c r="B18" i="6"/>
  <c r="B17" i="6"/>
  <c r="B15" i="6"/>
  <c r="B14" i="6"/>
  <c r="B13" i="6"/>
  <c r="B12" i="6"/>
  <c r="B11" i="6"/>
  <c r="B9" i="6"/>
  <c r="B30" i="6"/>
  <c r="B8" i="6"/>
  <c r="B29" i="6"/>
  <c r="B7" i="6"/>
  <c r="B28" i="6"/>
  <c r="B27" i="6"/>
  <c r="AH63" i="5"/>
  <c r="AZ63" i="5"/>
  <c r="AF63" i="5"/>
  <c r="AY63" i="5"/>
  <c r="AE63" i="5"/>
  <c r="AX63" i="5"/>
  <c r="AD63" i="5"/>
  <c r="AW63" i="5"/>
  <c r="AC63" i="5"/>
  <c r="AU63" i="5"/>
  <c r="AA63" i="5"/>
  <c r="AT63" i="5"/>
  <c r="AS63" i="5"/>
  <c r="AR63" i="5"/>
  <c r="AQ63" i="5"/>
  <c r="AP63" i="5"/>
  <c r="AO63" i="5"/>
  <c r="Q63" i="5"/>
  <c r="AD42" i="5"/>
  <c r="AS61" i="5"/>
  <c r="AD34" i="5"/>
  <c r="AD38" i="5"/>
  <c r="AG42" i="5"/>
  <c r="Y44" i="5"/>
  <c r="Z44" i="5" s="1"/>
  <c r="AH50" i="5"/>
  <c r="AV61" i="5"/>
  <c r="AH62" i="5"/>
  <c r="AZ62" i="5"/>
  <c r="AF62" i="5"/>
  <c r="AY62" i="5"/>
  <c r="AE62" i="5"/>
  <c r="AX62" i="5"/>
  <c r="AD62" i="5"/>
  <c r="AW62" i="5"/>
  <c r="AC62" i="5"/>
  <c r="AU62" i="5"/>
  <c r="AA62" i="5"/>
  <c r="AT62" i="5"/>
  <c r="AR62" i="5"/>
  <c r="AQ62" i="5"/>
  <c r="AP62" i="5"/>
  <c r="AO62" i="5"/>
  <c r="Q62" i="5"/>
  <c r="AE34" i="5"/>
  <c r="AE38" i="5"/>
  <c r="AH42" i="5"/>
  <c r="AQ43" i="5"/>
  <c r="AP43" i="5"/>
  <c r="AO43" i="5"/>
  <c r="Q43" i="5"/>
  <c r="AS43" i="5"/>
  <c r="B32" i="6"/>
  <c r="AN29" i="5" l="1"/>
  <c r="AM24" i="5"/>
  <c r="AN60" i="5"/>
  <c r="AM34" i="5"/>
  <c r="AN43" i="5"/>
  <c r="AN24" i="5"/>
  <c r="AN62" i="5"/>
  <c r="AN55" i="5"/>
  <c r="AI15" i="5"/>
  <c r="AM59" i="5"/>
  <c r="AI54" i="5"/>
  <c r="AM41" i="5"/>
  <c r="AM54" i="5"/>
  <c r="AM61" i="5"/>
  <c r="AM17" i="5"/>
  <c r="AI42" i="5"/>
  <c r="AN33" i="5"/>
  <c r="AM14" i="5"/>
  <c r="AI57" i="5"/>
  <c r="AA10" i="4"/>
  <c r="T10" i="4" s="1"/>
  <c r="U10" i="4" s="1"/>
  <c r="S10" i="4"/>
  <c r="X10" i="4" s="1"/>
  <c r="AI55" i="5"/>
  <c r="AN42" i="5"/>
  <c r="AN11" i="5"/>
  <c r="AN63" i="5"/>
  <c r="AI10" i="5"/>
  <c r="AM42" i="5"/>
  <c r="AM62" i="5"/>
  <c r="AN45" i="5"/>
  <c r="AN64" i="5"/>
  <c r="AM43" i="5"/>
  <c r="AM63" i="5"/>
  <c r="AN31" i="5"/>
  <c r="AI7" i="5"/>
  <c r="AI32" i="5"/>
  <c r="AI29" i="5"/>
  <c r="AI34" i="5"/>
  <c r="AI35" i="5"/>
  <c r="AN47" i="5"/>
  <c r="AN13" i="5"/>
  <c r="AA8" i="4"/>
  <c r="T8" i="4" s="1"/>
  <c r="U8" i="4" s="1"/>
  <c r="S8" i="4"/>
  <c r="X8" i="4" s="1"/>
  <c r="AI28" i="5"/>
  <c r="AM44" i="5"/>
  <c r="AM64" i="5"/>
  <c r="AI19" i="5"/>
  <c r="AI11" i="5"/>
  <c r="AN30" i="5"/>
  <c r="AI31" i="5"/>
  <c r="AN26" i="5"/>
  <c r="AI38" i="5"/>
  <c r="AI39" i="5"/>
  <c r="AI18" i="5"/>
  <c r="AN34" i="5"/>
  <c r="AN14" i="5"/>
  <c r="AM27" i="5"/>
  <c r="AM45" i="5"/>
  <c r="AA13" i="4"/>
  <c r="T13" i="4" s="1"/>
  <c r="U13" i="4" s="1"/>
  <c r="S13" i="4"/>
  <c r="X13" i="4" s="1"/>
  <c r="AM23" i="5"/>
  <c r="AI51" i="5"/>
  <c r="AI50" i="5"/>
  <c r="AN38" i="5"/>
  <c r="AN15" i="5"/>
  <c r="AI22" i="5"/>
  <c r="AM26" i="5"/>
  <c r="AM46" i="5"/>
  <c r="AN23" i="5"/>
  <c r="AN36" i="5"/>
  <c r="AI21" i="5"/>
  <c r="AI64" i="5"/>
  <c r="AI12" i="5"/>
  <c r="AN51" i="5"/>
  <c r="AN16" i="5"/>
  <c r="AM25" i="5"/>
  <c r="AM47" i="5"/>
  <c r="AK64" i="5"/>
  <c r="AK63" i="5"/>
  <c r="AK62" i="5"/>
  <c r="AK61" i="5"/>
  <c r="AK60" i="5"/>
  <c r="AK59" i="5"/>
  <c r="AK58" i="5"/>
  <c r="AK57" i="5"/>
  <c r="AK56" i="5"/>
  <c r="AK55" i="5"/>
  <c r="AK54" i="5"/>
  <c r="AK53" i="5"/>
  <c r="AK52" i="5"/>
  <c r="AK51" i="5"/>
  <c r="AK50" i="5"/>
  <c r="AK49" i="5"/>
  <c r="AK48" i="5"/>
  <c r="AK47" i="5"/>
  <c r="AK46" i="5"/>
  <c r="AK45" i="5"/>
  <c r="AK44" i="5"/>
  <c r="AK43" i="5"/>
  <c r="AK42" i="5"/>
  <c r="AK41" i="5"/>
  <c r="AK40" i="5"/>
  <c r="AK39" i="5"/>
  <c r="AK38" i="5"/>
  <c r="AK37" i="5"/>
  <c r="AK36" i="5"/>
  <c r="AK35" i="5"/>
  <c r="AK34" i="5"/>
  <c r="AK33" i="5"/>
  <c r="AK32" i="5"/>
  <c r="AK31" i="5"/>
  <c r="AK30" i="5"/>
  <c r="AK29" i="5"/>
  <c r="AK28" i="5"/>
  <c r="AK27" i="5"/>
  <c r="AK26" i="5"/>
  <c r="AK25" i="5"/>
  <c r="AK24" i="5"/>
  <c r="AK23" i="5"/>
  <c r="AK17" i="5"/>
  <c r="AK21" i="5"/>
  <c r="AK9" i="5"/>
  <c r="AK14" i="5"/>
  <c r="AK16" i="5"/>
  <c r="AK12" i="5"/>
  <c r="AK18" i="5"/>
  <c r="AK5" i="5"/>
  <c r="AK20" i="5"/>
  <c r="AK10" i="5"/>
  <c r="AK6" i="5"/>
  <c r="AK13" i="5"/>
  <c r="AK22" i="5"/>
  <c r="AK7" i="5"/>
  <c r="AK15" i="5"/>
  <c r="AK11" i="5"/>
  <c r="AK19" i="5"/>
  <c r="AK8" i="5"/>
  <c r="AI60" i="5"/>
  <c r="AI41" i="5"/>
  <c r="AN27" i="5"/>
  <c r="AN17" i="5"/>
  <c r="AI58" i="5"/>
  <c r="AM22" i="5"/>
  <c r="AM28" i="5"/>
  <c r="AM48" i="5"/>
  <c r="AN49" i="5"/>
  <c r="AI13" i="5"/>
  <c r="AI61" i="5"/>
  <c r="AI47" i="5"/>
  <c r="AI26" i="5"/>
  <c r="AN41" i="5"/>
  <c r="AN18" i="5"/>
  <c r="AI20" i="5"/>
  <c r="AM29" i="5"/>
  <c r="AM49" i="5"/>
  <c r="AA11" i="4"/>
  <c r="T11" i="4" s="1"/>
  <c r="U11" i="4" s="1"/>
  <c r="S11" i="4"/>
  <c r="X11" i="4" s="1"/>
  <c r="AI48" i="5"/>
  <c r="AN48" i="5"/>
  <c r="AN19" i="5"/>
  <c r="AM30" i="5"/>
  <c r="AM50" i="5"/>
  <c r="AL30" i="5"/>
  <c r="AL60" i="5"/>
  <c r="AL59" i="5"/>
  <c r="AL58" i="5"/>
  <c r="AL57" i="5"/>
  <c r="AL56" i="5"/>
  <c r="AL55" i="5"/>
  <c r="AL49" i="5"/>
  <c r="AL36" i="5"/>
  <c r="AL62" i="5"/>
  <c r="AL53" i="5"/>
  <c r="AL63" i="5"/>
  <c r="AL52" i="5"/>
  <c r="AL44" i="5"/>
  <c r="AL37" i="5"/>
  <c r="AL33" i="5"/>
  <c r="AL48" i="5"/>
  <c r="AL26" i="5"/>
  <c r="AL41" i="5"/>
  <c r="AL27" i="5"/>
  <c r="AL64" i="5"/>
  <c r="AL51" i="5"/>
  <c r="AL38" i="5"/>
  <c r="AL50" i="5"/>
  <c r="AL46" i="5"/>
  <c r="AL21" i="5"/>
  <c r="AL47" i="5"/>
  <c r="AL31" i="5"/>
  <c r="AL24" i="5"/>
  <c r="AL54" i="5"/>
  <c r="AL32" i="5"/>
  <c r="AL9" i="5"/>
  <c r="AL11" i="5"/>
  <c r="AL14" i="5"/>
  <c r="AL29" i="5"/>
  <c r="AL16" i="5"/>
  <c r="AL12" i="5"/>
  <c r="AL18" i="5"/>
  <c r="AL5" i="5"/>
  <c r="AL23" i="5"/>
  <c r="AL20" i="5"/>
  <c r="AL10" i="5"/>
  <c r="AL61" i="5"/>
  <c r="AL6" i="5"/>
  <c r="AL28" i="5"/>
  <c r="AL45" i="5"/>
  <c r="AL43" i="5"/>
  <c r="AL39" i="5"/>
  <c r="AL22" i="5"/>
  <c r="AL7" i="5"/>
  <c r="AL42" i="5"/>
  <c r="AL15" i="5"/>
  <c r="AL40" i="5"/>
  <c r="AL35" i="5"/>
  <c r="AL34" i="5"/>
  <c r="AL25" i="5"/>
  <c r="AL13" i="5"/>
  <c r="AL17" i="5"/>
  <c r="AL19" i="5"/>
  <c r="AL8" i="5"/>
  <c r="AA6" i="4"/>
  <c r="T6" i="4" s="1"/>
  <c r="U6" i="4" s="1"/>
  <c r="S6" i="4"/>
  <c r="X6" i="4" s="1"/>
  <c r="AN44" i="5"/>
  <c r="AN32" i="5"/>
  <c r="AM12" i="5"/>
  <c r="AI33" i="5"/>
  <c r="AN52" i="5"/>
  <c r="AN20" i="5"/>
  <c r="AM31" i="5"/>
  <c r="AM51" i="5"/>
  <c r="AN50" i="5"/>
  <c r="AI45" i="5"/>
  <c r="AM15" i="5"/>
  <c r="AM9" i="5"/>
  <c r="AI30" i="5"/>
  <c r="AI37" i="5"/>
  <c r="AN28" i="5"/>
  <c r="AN53" i="5"/>
  <c r="AN21" i="5"/>
  <c r="AM32" i="5"/>
  <c r="AM52" i="5"/>
  <c r="S5" i="4"/>
  <c r="X5" i="4" s="1"/>
  <c r="AA5" i="4"/>
  <c r="T5" i="4" s="1"/>
  <c r="U5" i="4" s="1"/>
  <c r="AI44" i="5"/>
  <c r="AN40" i="5"/>
  <c r="AN22" i="5"/>
  <c r="AM33" i="5"/>
  <c r="AM53" i="5"/>
  <c r="AI43" i="5"/>
  <c r="AI56" i="5"/>
  <c r="AI16" i="5"/>
  <c r="AI24" i="5"/>
  <c r="AI25" i="5"/>
  <c r="AN54" i="5"/>
  <c r="AN56" i="5"/>
  <c r="AM35" i="5"/>
  <c r="AM55" i="5"/>
  <c r="AN37" i="5"/>
  <c r="AI27" i="5"/>
  <c r="AI14" i="5"/>
  <c r="AI63" i="5"/>
  <c r="AN57" i="5"/>
  <c r="AM36" i="5"/>
  <c r="AM56" i="5"/>
  <c r="AM13" i="5"/>
  <c r="AA16" i="4"/>
  <c r="T16" i="4" s="1"/>
  <c r="U16" i="4" s="1"/>
  <c r="S16" i="4"/>
  <c r="X16" i="4" s="1"/>
  <c r="AI36" i="5"/>
  <c r="AI8" i="5"/>
  <c r="AM16" i="5"/>
  <c r="AI53" i="5"/>
  <c r="AN58" i="5"/>
  <c r="AM37" i="5"/>
  <c r="AM57" i="5"/>
  <c r="AM19" i="5"/>
  <c r="AM18" i="5"/>
  <c r="AM10" i="5"/>
  <c r="AM8" i="5"/>
  <c r="AM11" i="5"/>
  <c r="AM21" i="5"/>
  <c r="AI59" i="5"/>
  <c r="AI46" i="5"/>
  <c r="S12" i="4"/>
  <c r="X12" i="4" s="1"/>
  <c r="AA12" i="4"/>
  <c r="T12" i="4" s="1"/>
  <c r="U12" i="4" s="1"/>
  <c r="AI40" i="5"/>
  <c r="AN59" i="5"/>
  <c r="AM38" i="5"/>
  <c r="AM58" i="5"/>
  <c r="AN46" i="5"/>
  <c r="AI52" i="5"/>
  <c r="S7" i="4"/>
  <c r="X7" i="4" s="1"/>
  <c r="AA7" i="4"/>
  <c r="T7" i="4" s="1"/>
  <c r="U7" i="4" s="1"/>
  <c r="AI62" i="5"/>
  <c r="AM20" i="5"/>
  <c r="AN35" i="5"/>
  <c r="AM39" i="5"/>
  <c r="AJ64" i="5"/>
  <c r="AJ63" i="5"/>
  <c r="AJ62" i="5"/>
  <c r="AJ61" i="5"/>
  <c r="AJ60" i="5"/>
  <c r="AJ59" i="5"/>
  <c r="AJ58" i="5"/>
  <c r="AJ57" i="5"/>
  <c r="AJ56" i="5"/>
  <c r="AJ39" i="5"/>
  <c r="AJ35" i="5"/>
  <c r="AJ30" i="5"/>
  <c r="AJ54" i="5"/>
  <c r="AJ43" i="5"/>
  <c r="AJ53" i="5"/>
  <c r="AJ46" i="5"/>
  <c r="AJ32" i="5"/>
  <c r="AJ24" i="5"/>
  <c r="AJ25" i="5"/>
  <c r="AJ52" i="5"/>
  <c r="AJ44" i="5"/>
  <c r="AJ37" i="5"/>
  <c r="AJ33" i="5"/>
  <c r="AJ48" i="5"/>
  <c r="AJ26" i="5"/>
  <c r="AJ41" i="5"/>
  <c r="AJ51" i="5"/>
  <c r="AJ38" i="5"/>
  <c r="AJ34" i="5"/>
  <c r="AJ28" i="5"/>
  <c r="AJ47" i="5"/>
  <c r="AJ45" i="5"/>
  <c r="AJ42" i="5"/>
  <c r="AJ19" i="5"/>
  <c r="AJ8" i="5"/>
  <c r="AJ21" i="5"/>
  <c r="AJ31" i="5"/>
  <c r="AJ9" i="5"/>
  <c r="AJ15" i="5"/>
  <c r="AJ29" i="5"/>
  <c r="AJ14" i="5"/>
  <c r="AJ16" i="5"/>
  <c r="AJ12" i="5"/>
  <c r="AJ23" i="5"/>
  <c r="AJ18" i="5"/>
  <c r="AJ5" i="5"/>
  <c r="AJ55" i="5"/>
  <c r="AJ20" i="5"/>
  <c r="AJ10" i="5"/>
  <c r="AJ6" i="5"/>
  <c r="AJ13" i="5"/>
  <c r="AJ49" i="5"/>
  <c r="AJ50" i="5"/>
  <c r="AJ22" i="5"/>
  <c r="AJ7" i="5"/>
  <c r="AJ40" i="5"/>
  <c r="AJ36" i="5"/>
  <c r="AJ17" i="5"/>
  <c r="AJ27" i="5"/>
  <c r="AJ11" i="5"/>
  <c r="AI17" i="5"/>
  <c r="AI23" i="5"/>
  <c r="AI49" i="5"/>
  <c r="AN39" i="5"/>
  <c r="AN9" i="5"/>
  <c r="AN61" i="5"/>
  <c r="AM40" i="5"/>
  <c r="AM60" i="5"/>
  <c r="AN25" i="5"/>
  <c r="B35" i="6" l="1"/>
  <c r="B37" i="6" s="1"/>
  <c r="B34" i="6"/>
  <c r="B36" i="6" s="1"/>
</calcChain>
</file>

<file path=xl/sharedStrings.xml><?xml version="1.0" encoding="utf-8"?>
<sst xmlns="http://schemas.openxmlformats.org/spreadsheetml/2006/main" count="245" uniqueCount="210">
  <si>
    <t>C2 | Household Contributions &amp; Settlement Tracker</t>
  </si>
  <si>
    <t>YOUR COPY | USD • en-US | Groundwell Press</t>
  </si>
  <si>
    <t>Save your own file before entering data. Gold cells are editable; white cells calculate. Desktop Excel is the tested application. No macros or bank connection.</t>
  </si>
  <si>
    <t>A blank is unknown; enter a numeric zero only when confirmed. Scenario, Expected and Proposed never become confirmed merely because an amount is entered.</t>
  </si>
  <si>
    <t>Formulas are protected without a password. Review &gt; Unprotect Sheet permits inspection; keep an untouched copy. Retain dated copies so a changed agreement cannot rewrite a past close.</t>
  </si>
  <si>
    <t>START HERE — Personal payments only: open Direct180 first. Choose Joint pool = None; joint cash and attribution fields are inactive. Complete the period and one confirmed dated agreement, then enter two Expense rows before any settlement.</t>
  </si>
  <si>
    <t>FIRST CLOSE — Alex paid $900 and Robin $300; both chose 60/40. Expenses are $1,200, targets $720/$480, so Robin pays Alex $180. In Close, verify the states and funding difference first; record an actual payment once as Settlement, never Expense.</t>
  </si>
  <si>
    <t>SHARED ACCOUNT OR BOTH — Use the main Example after the direct-pay route. Confirm opening cash and ownership, contributions, purchases and statements. Personal purchases can share that ledger. Use savings/history/split-receipt fields only when those movements occurred.</t>
  </si>
  <si>
    <t>1. Make a dated copy for one period. Setup defines people, dates, joint pool and confirmed opening balances. None makes joint accounts inactive. Checking permits excluded savings as a holding account; Combined includes both.</t>
  </si>
  <si>
    <t>2. Agreements stores immutable IDs and effective dates. Locked ratio does not change when income changes. Other rules recalculate responsibility from this period’s actual expenses plus the agreed saving target. Proposed terms cannot close actual expenses.</t>
  </si>
  <si>
    <t>3. Enter Transactions in cash-date order. Use Cash + allocation for an ordinary expense; Cash only for one payment split across agreements; then Allocation only rows linked by receipt ID. Allocation rows must sum to the single cash payment and use its source. They never move cash again.</t>
  </si>
  <si>
    <t>4. Expense goes to Merchant. Refund comes from Merchant and names the original expense/allocation ID. Keep a Historical original row for a late refund, including its original agreement and final period basis. Historical rows never move this period’s cash.</t>
  </si>
  <si>
    <t>5. Contribution is personal A/B to a joint account. ReturnContribution is joint to the same owner. InternalTransfer/BoundaryTransfer moves Checking and Savings. Enter source attribution A/B for joint withdrawals and merchant refunds; the two amounts must sum to the movement.</t>
  </si>
  <si>
    <t>6. Joint ownership updates in row order. Spending or transfer attribution must be available in its source account. For a joint Settlement, debtor must own the entire withdrawal and enough source cash; mixed $24/$16 cannot cancel a $40 debt. Use a personal settlement, or document and implement any attribution change separately before recording a payment. This file never silently changes ownership.</t>
  </si>
  <si>
    <t>7. Settlement and PersonalSupport name the debtor/donor A/B and the receiving personal account. Support stays separate from expenses. A mixed withdrawal already paid can be represented by its two real purpose components (e.g., $24 ReturnContribution to A and $16 B Settlement to A), whose cash amounts sum to the actual $40.</t>
  </si>
  <si>
    <t>8. Confirmed rows count in actual responsibility. Expected rows do not count. Disputed cash is still real bank movement, but the expense close is pending until its treatment is resolved. Blank status on an entered row is incomplete, not zero.</t>
  </si>
  <si>
    <t>9. Check Q:S beside each row. Cash can reconcile with unknown attribution; expense settlement cannot. Excluded savings paying a merchant or receiving a refund requires Combined for this period, with its opening history; never rewrite earlier copies.</t>
  </si>
  <si>
    <t>10. Setup earmarks are portions of account cash, not extra assets. Close compares net designated saving increase and support with their targets separately. Reconcile calculated bank balances to statements. Opening expense debt is carried once, separately.</t>
  </si>
  <si>
    <t>Example: Alex contributes $720 and Robin $480; joint purchase $1,000, refund $200, then Alex pays $100 directly. Joint cash $400; expense $900; net funding $580/$320; Robin owes Alex $40. Direct180 is a separate teaching sheet, never added to the ledger.</t>
  </si>
  <si>
    <t>Capacity: 60 transaction rows and 12 agreement rows. Start a new period copy rather than pasting over formulas. For a longer ledger, extend all formula/validation ranges deliberately in a separate inspected copy. The file has no automatic bank import.</t>
  </si>
  <si>
    <t>No legal rights or automatic fairness conclusion are created. Household attribution is an internal record and does not determine bank ownership rights. USD only; do not mix currencies or periods.</t>
  </si>
  <si>
    <t>Separate teaching case | direct $180 settlement</t>
  </si>
  <si>
    <t>This sheet does not feed the main ledger. To operate it, use a fresh period copy with Joint pool = None.</t>
  </si>
  <si>
    <t>Measure</t>
  </si>
  <si>
    <t>Alex</t>
  </si>
  <si>
    <t>Robin</t>
  </si>
  <si>
    <t>Actual personal expenses</t>
  </si>
  <si>
    <t>Locked responsibility</t>
  </si>
  <si>
    <t>Before settlement over/(under)</t>
  </si>
  <si>
    <t>Actual settlement sent/(received)</t>
  </si>
  <si>
    <t>Funding after settlement</t>
  </si>
  <si>
    <t>Expenses remain $1,200. Robin sends Alex $180; the transfer is not another $180 expense. Formula in the main ledger derives the same outcome from its event rows.</t>
  </si>
  <si>
    <t>Minimum Setup: names, period dates and confirmation, source note, Joint pool = None, opening expense debt 0 if confirmed, and ledger-complete confirmation. Leave joint-bank fields inactive.</t>
  </si>
  <si>
    <t>Agreements: one unique ID, Confirmed, dates covering both purchases, Locked ratio, A ratio 0.60, written basis, Current, Saving active? = Inactive. Income and saving inputs are not required for this expense-only fixed ratio.</t>
  </si>
  <si>
    <t>Transactions: D1 / D2; actual dates; Confirmed; Expense; 900 / 300; source A / B; destination Merchant; the same agreement ID; Cash + allocation; receipt notes. Original expense, attribution, debtor and linked cash receipt are unused for these two personal purchases.</t>
  </si>
  <si>
    <t>Close: expense state READY, expense 1,200, targets 720/480, funding difference 0 and Robin to Alex 180. After the real transfer, add D3: Settlement 180, B to A, debtor B, actual date and source note. Reclose: expense stays 1,200 and remaining debt becomes 0.</t>
  </si>
  <si>
    <t>Choose the period and cash boundary</t>
  </si>
  <si>
    <t>Names A/B are stable within this file. Known zero requires a numeric 0 and confirmation; blank remains unknown.</t>
  </si>
  <si>
    <t>Person A</t>
  </si>
  <si>
    <t>Person B</t>
  </si>
  <si>
    <t>Period start</t>
  </si>
  <si>
    <t>Period end</t>
  </si>
  <si>
    <t>Joint pool</t>
  </si>
  <si>
    <t>None</t>
  </si>
  <si>
    <t>None / Checking / Combined. Savings-only spending can be represented with Combined and confirmed zero checking.</t>
  </si>
  <si>
    <t>Period confirmed?</t>
  </si>
  <si>
    <t>Records / basis</t>
  </si>
  <si>
    <t>Opening checking cash</t>
  </si>
  <si>
    <t>Opening checking: A</t>
  </si>
  <si>
    <t>Internal attribution: A + B must equal opening cash.</t>
  </si>
  <si>
    <t>Opening checking: B</t>
  </si>
  <si>
    <t>Statement closing checking</t>
  </si>
  <si>
    <t>Enter the actual bank statement amount; do not copy the calculated amount without checking.</t>
  </si>
  <si>
    <t>Checking cash confirmed?</t>
  </si>
  <si>
    <t>Opening savings cash</t>
  </si>
  <si>
    <t>Required only for Combined or an Active excluded savings account.</t>
  </si>
  <si>
    <t>Opening savings: A</t>
  </si>
  <si>
    <t>Opening savings: B</t>
  </si>
  <si>
    <t>Statement closing savings</t>
  </si>
  <si>
    <t>Savings cash confirmed?</t>
  </si>
  <si>
    <t>Excluded savings holding account</t>
  </si>
  <si>
    <t>Inactive</t>
  </si>
  <si>
    <t>Designated saving tracking</t>
  </si>
  <si>
    <t>Inactive leaves saving actuals pending/inactive; it does not invent zero when a goal is active.</t>
  </si>
  <si>
    <t>Opening saving earmark A</t>
  </si>
  <si>
    <t>Opening saving earmark B</t>
  </si>
  <si>
    <t>Closing saving earmark A</t>
  </si>
  <si>
    <t>Closing saving earmark B</t>
  </si>
  <si>
    <t>Saving earmarks confirmed?</t>
  </si>
  <si>
    <t>Opening expense debt: B owes A</t>
  </si>
  <si>
    <t>Positive means B owes A; negative means A owes B. Not an expense or a bank balance.</t>
  </si>
  <si>
    <t>Opening debt confirmed?</t>
  </si>
  <si>
    <t>Confirm zero explicitly if no debt is carried. Prior settlements must not be recorded twice.</t>
  </si>
  <si>
    <t>Actual ledger complete for period?</t>
  </si>
  <si>
    <t>Period state</t>
  </si>
  <si>
    <t>Cash input state</t>
  </si>
  <si>
    <t>Opening ownership state</t>
  </si>
  <si>
    <t>Dated agreements — preserve old IDs</t>
  </si>
  <si>
    <t>Current rows apply to this close. Historical non-ratio rows need the final expense total from their original period. Gold cells are inputs.</t>
  </si>
  <si>
    <t>ID</t>
  </si>
  <si>
    <t>Status</t>
  </si>
  <si>
    <t>Effective from</t>
  </si>
  <si>
    <t>Effective to</t>
  </si>
  <si>
    <t>Rule</t>
  </si>
  <si>
    <t>Locked A ratio</t>
  </si>
  <si>
    <t>Income A</t>
  </si>
  <si>
    <t>Income B</t>
  </si>
  <si>
    <t>Recognized obligation A</t>
  </si>
  <si>
    <t>Recognized obligation B</t>
  </si>
  <si>
    <t>Custom A total</t>
  </si>
  <si>
    <t>Saving target</t>
  </si>
  <si>
    <t>Basis / reason</t>
  </si>
  <si>
    <t>Historical final expense</t>
  </si>
  <si>
    <t>Basis period</t>
  </si>
  <si>
    <t>Actual expense</t>
  </si>
  <si>
    <t>H: expense + saving</t>
  </si>
  <si>
    <t>Signed A total</t>
  </si>
  <si>
    <t>Signed B total</t>
  </si>
  <si>
    <t>Expense target A</t>
  </si>
  <si>
    <t>Expense target B</t>
  </si>
  <si>
    <t>Saving target A</t>
  </si>
  <si>
    <t>Saving target B</t>
  </si>
  <si>
    <t>Support A to B</t>
  </si>
  <si>
    <t>Support B to A</t>
  </si>
  <si>
    <t>State</t>
  </si>
  <si>
    <t>Expense A rate</t>
  </si>
  <si>
    <t>Saving active?</t>
  </si>
  <si>
    <t>One movement, one cash record</t>
  </si>
  <si>
    <t>Q:S diagnose cash, allocation and attribution separately. Read Guide before splitting a bill or entering a joint-source settlement.</t>
  </si>
  <si>
    <t>Actual / allocation date</t>
  </si>
  <si>
    <t>Type</t>
  </si>
  <si>
    <t>Amount USD</t>
  </si>
  <si>
    <t>Source</t>
  </si>
  <si>
    <t>Destination</t>
  </si>
  <si>
    <t>Agreement ID</t>
  </si>
  <si>
    <t>Original expense ID</t>
  </si>
  <si>
    <t>Description</t>
  </si>
  <si>
    <t>Source A attribution</t>
  </si>
  <si>
    <t>Source B attribution</t>
  </si>
  <si>
    <t>Debtor / donor</t>
  </si>
  <si>
    <t>Mode</t>
  </si>
  <si>
    <t>Cash receipt ID</t>
  </si>
  <si>
    <t>Record / source note</t>
  </si>
  <si>
    <t>Cash state</t>
  </si>
  <si>
    <t>Allocation state</t>
  </si>
  <si>
    <t>Attribution state</t>
  </si>
  <si>
    <t>Cash active</t>
  </si>
  <si>
    <t>Eligible</t>
  </si>
  <si>
    <t>Agreement row</t>
  </si>
  <si>
    <t>A rate</t>
  </si>
  <si>
    <t>Expense signed</t>
  </si>
  <si>
    <t>Target A</t>
  </si>
  <si>
    <t>Target B</t>
  </si>
  <si>
    <t>Direct A</t>
  </si>
  <si>
    <t>Direct B</t>
  </si>
  <si>
    <t>Checking cash delta</t>
  </si>
  <si>
    <t>Savings cash delta</t>
  </si>
  <si>
    <t>Checking A delta</t>
  </si>
  <si>
    <t>Checking B delta</t>
  </si>
  <si>
    <t>Savings A delta</t>
  </si>
  <si>
    <t>Savings B delta</t>
  </si>
  <si>
    <t>Checking cash</t>
  </si>
  <si>
    <t>Savings cash</t>
  </si>
  <si>
    <t>Checking A</t>
  </si>
  <si>
    <t>Checking B</t>
  </si>
  <si>
    <t>Savings A</t>
  </si>
  <si>
    <t>Savings B</t>
  </si>
  <si>
    <t>Settlement A net</t>
  </si>
  <si>
    <t>Personal contribution A</t>
  </si>
  <si>
    <t>Personal contribution B</t>
  </si>
  <si>
    <t>Boundary in A</t>
  </si>
  <si>
    <t>Boundary in B</t>
  </si>
  <si>
    <t>Other out A</t>
  </si>
  <si>
    <t>Other out B</t>
  </si>
  <si>
    <t>Return A</t>
  </si>
  <si>
    <t>Return B</t>
  </si>
  <si>
    <t>Joint expense source?</t>
  </si>
  <si>
    <t>Included source?</t>
  </si>
  <si>
    <t>Included destination?</t>
  </si>
  <si>
    <t>Current row?</t>
  </si>
  <si>
    <t>Cash receipt allocations</t>
  </si>
  <si>
    <t>CHECK REFUND SOURCE STATUS: confirm the actual purchase from its evidence or reference its valid historical record. Expected is not a completed purchase; Disputed requires resolution. Do not change status merely to force a close.</t>
  </si>
  <si>
    <t>Close the period without counting transfers twice</t>
  </si>
  <si>
    <t>Cash, expense responsibility, saving and personal support are separate results. Resolve the state beside each amount.</t>
  </si>
  <si>
    <t/>
  </si>
  <si>
    <t>Expense close state</t>
  </si>
  <si>
    <t>Current agreement / target state</t>
  </si>
  <si>
    <t>Net eligible expense</t>
  </si>
  <si>
    <t>Confirmed expenses less eligible refunds. Expected and historical cash are excluded.</t>
  </si>
  <si>
    <t>Direct personal expense funding A</t>
  </si>
  <si>
    <t>Direct personal expense funding B</t>
  </si>
  <si>
    <t>Joint-pool expense funding A</t>
  </si>
  <si>
    <t>Opening + personal deposits + boundary returns − returns − other nonexpense outflows − retained ownership.</t>
  </si>
  <si>
    <t>Joint-pool expense funding B</t>
  </si>
  <si>
    <t>Net expense settlements A sent</t>
  </si>
  <si>
    <t>Negative means A received. Joint-source payments first leave pool funding, then count once here.</t>
  </si>
  <si>
    <t>Actual expense funding A</t>
  </si>
  <si>
    <t>Actual expense funding B</t>
  </si>
  <si>
    <t>Funding reconciliation difference</t>
  </si>
  <si>
    <t>Must be zero before settling. Difference means the cash/ownership record does not explain eligible expenses.</t>
  </si>
  <si>
    <t>Remaining: B owes A (+); A owes B (−)</t>
  </si>
  <si>
    <t>Opening debt is added once. This direction does not authorize a payment.</t>
  </si>
  <si>
    <t>Settlement instruction</t>
  </si>
  <si>
    <t>A provisional figure is diagnostic only. Resolve the active checking/savings statement difference before using the payment direction.</t>
  </si>
  <si>
    <t>Checking closing cash</t>
  </si>
  <si>
    <t>Checking statement difference</t>
  </si>
  <si>
    <t>Savings closing cash</t>
  </si>
  <si>
    <t>With Checking scope this is excluded holding cash, never included twice.</t>
  </si>
  <si>
    <t>Savings statement difference</t>
  </si>
  <si>
    <t>Included joint-pool closing cash</t>
  </si>
  <si>
    <t>Retained checking A</t>
  </si>
  <si>
    <t>Retained checking B</t>
  </si>
  <si>
    <t>Retained savings A</t>
  </si>
  <si>
    <t>Retained savings B</t>
  </si>
  <si>
    <t>Shared saving target A</t>
  </si>
  <si>
    <t>Shared saving target B</t>
  </si>
  <si>
    <t>Actual designated saving change A</t>
  </si>
  <si>
    <t>Net change in earmarked funds. Old saving is not a new personal contribution.</t>
  </si>
  <si>
    <t>Actual designated saving change B</t>
  </si>
  <si>
    <t>Saving shortfall A</t>
  </si>
  <si>
    <t>Saving shortfall B</t>
  </si>
  <si>
    <t>Personal support target A to B</t>
  </si>
  <si>
    <t>Personal support target B to A</t>
  </si>
  <si>
    <t>Actual personal support A to B</t>
  </si>
  <si>
    <t>Actual personal support B to A</t>
  </si>
  <si>
    <t>Support still due A to B</t>
  </si>
  <si>
    <t>Support still due B to A</t>
  </si>
  <si>
    <t>Disputed expense amount</t>
  </si>
  <si>
    <t>Shown separately; no complete undisputed close is claimed while disputed rows remain.</t>
  </si>
  <si>
    <t>Before sending money: resolve all pending states, confirm statement differences and funding difference are zero, then verify the agreement, recipient and date. Save this close; record any actual settlement once.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</si>
</sst>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3" x14ac:knownFonts="1">
    <font>
      <sz val="11"/>
      <color rgb="FF253D43"/>
      <name val="Calibri"/>
    </font>
    <font>
      <b/>
      <sz val="19"/>
      <color rgb="FFFFFFFF"/>
      <name val="Calibri"/>
    </font>
    <font>
      <b/>
      <sz val="11"/>
      <color rgb="FFFFFFFF"/>
      <name val="Calibri"/>
    </font>
  </fonts>
  <fills count="4">
    <fill>
      <patternFill patternType="none"/>
    </fill>
    <fill>
      <patternFill patternType="gray125"/>
    </fill>
    <fill>
      <patternFill patternType="solid">
        <fgColor rgb="FF22494B"/>
      </patternFill>
    </fill>
    <fill>
      <patternFill patternType="solid">
        <fgColor rgb="FFFFEDCA"/>
      </patternFill>
    </fill>
  </fills>
  <borders count="1">
    <border>
      <left/>
      <right/>
      <top/>
      <bottom/>
      <diagonal/>
    </border>
  </borders>
  <cellStyleXfs count="1">
    <xf numFmtId="0" fontId="0" fillId="0" borderId="0"/>
  </cellStyleXfs>
  <cellXfs count="13">
    <xf numFmtId="0" fontId="0" fillId="0" borderId="0" xfId="0" applyAlignment="1" applyProtection="1">
      <alignment vertical="center" wrapText="1"/>
    </xf>
    <xf numFmtId="0" fontId="2" fillId="2" borderId="0" xfId="0" applyFont="1" applyFill="1" applyAlignment="1" applyProtection="1">
      <alignment vertical="center" wrapText="1"/>
    </xf>
    <xf numFmtId="164" fontId="0" fillId="3" borderId="0" xfId="0" applyNumberFormat="1" applyFill="1" applyAlignment="1" applyProtection="1">
      <alignment vertical="center" wrapText="1"/>
      <protection locked="0"/>
    </xf>
    <xf numFmtId="164" fontId="0" fillId="0" borderId="0" xfId="0" applyNumberFormat="1" applyAlignment="1" applyProtection="1">
      <alignment vertical="center" wrapText="1"/>
    </xf>
    <xf numFmtId="0" fontId="0" fillId="3" borderId="0" xfId="0" applyFill="1" applyAlignment="1" applyProtection="1">
      <alignment vertical="center" wrapText="1"/>
      <protection locked="0"/>
    </xf>
    <xf numFmtId="165" fontId="0" fillId="3" borderId="0" xfId="0" applyNumberFormat="1" applyFill="1" applyAlignment="1" applyProtection="1">
      <alignment vertical="center" wrapText="1"/>
      <protection locked="0"/>
    </xf>
    <xf numFmtId="165" fontId="0" fillId="0" borderId="0" xfId="0" applyNumberFormat="1" applyAlignment="1" applyProtection="1">
      <alignment vertical="center" wrapText="1"/>
    </xf>
    <xf numFmtId="14" fontId="0" fillId="3" borderId="0" xfId="0" applyNumberFormat="1" applyFill="1" applyAlignment="1" applyProtection="1">
      <alignment vertical="center" wrapText="1"/>
      <protection locked="0"/>
    </xf>
    <xf numFmtId="0" fontId="1" fillId="2" borderId="0" xfId="0" applyFont="1" applyFill="1" applyAlignment="1" applyProtection="1">
      <alignment vertical="center" wrapText="1"/>
    </xf>
    <xf numFmtId="0" fontId="0" fillId="0" borderId="0" xfId="0" applyAlignment="1" applyProtection="1">
      <alignment vertical="center" wrapText="1"/>
    </xf>
    <xf numFmtId="0" fontId="0" fillId="3" borderId="0" xfId="0" applyFill="1" applyAlignment="1" applyProtection="1">
      <alignment vertical="center" wrapText="1"/>
      <protection locked="0"/>
    </xf>
    <xf numFmtId="14" fontId="0" fillId="3" borderId="0" xfId="0" applyNumberFormat="1" applyFill="1" applyAlignment="1" applyProtection="1">
      <alignment vertical="center" wrapText="1"/>
      <protection locked="0"/>
    </xf>
    <xf numFmtId="164" fontId="0" fillId="3" borderId="0" xfId="0" applyNumberFormat="1" applyFill="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2"/>
  <sheetViews>
    <sheetView showGridLines="0" tabSelected="1" workbookViewId="0">
      <pane ySplit="4" topLeftCell="A5" activePane="bottomLeft" state="frozen"/>
      <selection pane="bottomLeft" sqref="A1:D1"/>
    </sheetView>
  </sheetViews>
  <sheetFormatPr defaultRowHeight="15" x14ac:dyDescent="0.25"/>
  <cols>
    <col min="1" max="4" width="26" customWidth="1"/>
  </cols>
  <sheetData>
    <row r="1" spans="1:4" ht="38.1" customHeight="1" x14ac:dyDescent="0.25">
      <c r="A1" s="8" t="s">
        <v>0</v>
      </c>
      <c r="B1" s="9"/>
      <c r="C1" s="9"/>
      <c r="D1" s="9"/>
    </row>
    <row r="2" spans="1:4" ht="36" customHeight="1" x14ac:dyDescent="0.25">
      <c r="A2" s="9" t="s">
        <v>1</v>
      </c>
      <c r="B2" s="9"/>
      <c r="C2" s="9"/>
      <c r="D2" s="9"/>
    </row>
    <row r="4" spans="1:4" ht="50.1" customHeight="1" x14ac:dyDescent="0.25">
      <c r="A4" s="9" t="s">
        <v>2</v>
      </c>
      <c r="B4" s="9"/>
      <c r="C4" s="9"/>
      <c r="D4" s="9"/>
    </row>
    <row r="5" spans="1:4" ht="50.1" customHeight="1" x14ac:dyDescent="0.25">
      <c r="A5" s="9" t="s">
        <v>3</v>
      </c>
      <c r="B5" s="9"/>
      <c r="C5" s="9"/>
      <c r="D5" s="9"/>
    </row>
    <row r="6" spans="1:4" ht="50.1" customHeight="1" x14ac:dyDescent="0.25">
      <c r="A6" s="9" t="s">
        <v>4</v>
      </c>
      <c r="B6" s="9"/>
      <c r="C6" s="9"/>
      <c r="D6" s="9"/>
    </row>
    <row r="7" spans="1:4" ht="50.1" customHeight="1" x14ac:dyDescent="0.25">
      <c r="A7" s="9" t="s">
        <v>5</v>
      </c>
      <c r="B7" s="9"/>
      <c r="C7" s="9"/>
      <c r="D7" s="9"/>
    </row>
    <row r="8" spans="1:4" ht="50.1" customHeight="1" x14ac:dyDescent="0.25">
      <c r="A8" s="9" t="s">
        <v>6</v>
      </c>
      <c r="B8" s="9"/>
      <c r="C8" s="9"/>
      <c r="D8" s="9"/>
    </row>
    <row r="9" spans="1:4" ht="50.1" customHeight="1" x14ac:dyDescent="0.25">
      <c r="A9" s="9" t="s">
        <v>7</v>
      </c>
      <c r="B9" s="9"/>
      <c r="C9" s="9"/>
      <c r="D9" s="9"/>
    </row>
    <row r="10" spans="1:4" ht="50.1" customHeight="1" x14ac:dyDescent="0.25">
      <c r="A10" s="9" t="s">
        <v>8</v>
      </c>
      <c r="B10" s="9"/>
      <c r="C10" s="9"/>
      <c r="D10" s="9"/>
    </row>
    <row r="11" spans="1:4" ht="50.1" customHeight="1" x14ac:dyDescent="0.25">
      <c r="A11" s="9" t="s">
        <v>9</v>
      </c>
      <c r="B11" s="9"/>
      <c r="C11" s="9"/>
      <c r="D11" s="9"/>
    </row>
    <row r="12" spans="1:4" ht="50.1" customHeight="1" x14ac:dyDescent="0.25">
      <c r="A12" s="9" t="s">
        <v>10</v>
      </c>
      <c r="B12" s="9"/>
      <c r="C12" s="9"/>
      <c r="D12" s="9"/>
    </row>
    <row r="13" spans="1:4" ht="50.1" customHeight="1" x14ac:dyDescent="0.25">
      <c r="A13" s="9" t="s">
        <v>11</v>
      </c>
      <c r="B13" s="9"/>
      <c r="C13" s="9"/>
      <c r="D13" s="9"/>
    </row>
    <row r="14" spans="1:4" ht="50.1" customHeight="1" x14ac:dyDescent="0.25">
      <c r="A14" s="9" t="s">
        <v>12</v>
      </c>
      <c r="B14" s="9"/>
      <c r="C14" s="9"/>
      <c r="D14" s="9"/>
    </row>
    <row r="15" spans="1:4" ht="50.1" customHeight="1" x14ac:dyDescent="0.25">
      <c r="A15" s="9" t="s">
        <v>13</v>
      </c>
      <c r="B15" s="9"/>
      <c r="C15" s="9"/>
      <c r="D15" s="9"/>
    </row>
    <row r="16" spans="1:4" ht="50.1" customHeight="1" x14ac:dyDescent="0.25">
      <c r="A16" s="9" t="s">
        <v>14</v>
      </c>
      <c r="B16" s="9"/>
      <c r="C16" s="9"/>
      <c r="D16" s="9"/>
    </row>
    <row r="17" spans="1:4" ht="50.1" customHeight="1" x14ac:dyDescent="0.25">
      <c r="A17" s="9" t="s">
        <v>15</v>
      </c>
      <c r="B17" s="9"/>
      <c r="C17" s="9"/>
      <c r="D17" s="9"/>
    </row>
    <row r="18" spans="1:4" ht="50.1" customHeight="1" x14ac:dyDescent="0.25">
      <c r="A18" s="9" t="s">
        <v>16</v>
      </c>
      <c r="B18" s="9"/>
      <c r="C18" s="9"/>
      <c r="D18" s="9"/>
    </row>
    <row r="19" spans="1:4" ht="50.1" customHeight="1" x14ac:dyDescent="0.25">
      <c r="A19" s="9" t="s">
        <v>17</v>
      </c>
      <c r="B19" s="9"/>
      <c r="C19" s="9"/>
      <c r="D19" s="9"/>
    </row>
    <row r="20" spans="1:4" ht="50.1" customHeight="1" x14ac:dyDescent="0.25">
      <c r="A20" s="9" t="s">
        <v>18</v>
      </c>
      <c r="B20" s="9"/>
      <c r="C20" s="9"/>
      <c r="D20" s="9"/>
    </row>
    <row r="21" spans="1:4" ht="50.1" customHeight="1" x14ac:dyDescent="0.25">
      <c r="A21" s="9" t="s">
        <v>19</v>
      </c>
      <c r="B21" s="9"/>
      <c r="C21" s="9"/>
      <c r="D21" s="9"/>
    </row>
    <row r="22" spans="1:4" ht="50.1" customHeight="1" x14ac:dyDescent="0.25">
      <c r="A22" s="9" t="s">
        <v>20</v>
      </c>
      <c r="B22" s="9"/>
      <c r="C22" s="9"/>
      <c r="D22" s="9"/>
    </row>
  </sheetData>
  <sheetProtection sheet="1"/>
  <mergeCells count="21">
    <mergeCell ref="A22:D22"/>
    <mergeCell ref="A17:D17"/>
    <mergeCell ref="A18:D18"/>
    <mergeCell ref="A19:D19"/>
    <mergeCell ref="A20:D20"/>
    <mergeCell ref="A21:D21"/>
    <mergeCell ref="A12:D12"/>
    <mergeCell ref="A13:D13"/>
    <mergeCell ref="A14:D14"/>
    <mergeCell ref="A15:D15"/>
    <mergeCell ref="A16:D16"/>
    <mergeCell ref="A7:D7"/>
    <mergeCell ref="A8:D8"/>
    <mergeCell ref="A9:D9"/>
    <mergeCell ref="A10:D10"/>
    <mergeCell ref="A11:D11"/>
    <mergeCell ref="A1:D1"/>
    <mergeCell ref="A2:D2"/>
    <mergeCell ref="A4:D4"/>
    <mergeCell ref="A5:D5"/>
    <mergeCell ref="A6:D6"/>
  </mergeCells>
  <pageMargins left="0.3" right="0.3" top="0.45" bottom="0.45" header="0.2" footer="0.2"/>
  <pageSetup fitToHeight="0" orientation="landscape"/>
  <headerFooter>
    <oddFooter>&amp;L Different Pay, Shared Plans &amp;R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7"/>
  <sheetViews>
    <sheetView showGridLines="0" workbookViewId="0">
      <pane ySplit="4" topLeftCell="A5" activePane="bottomLeft" state="frozen"/>
      <selection pane="bottomLeft"/>
    </sheetView>
  </sheetViews>
  <sheetFormatPr defaultRowHeight="15" x14ac:dyDescent="0.25"/>
  <cols>
    <col min="1" max="1" width="35" customWidth="1"/>
    <col min="2" max="3" width="27" customWidth="1"/>
    <col min="4" max="4" width="40" customWidth="1"/>
  </cols>
  <sheetData>
    <row r="1" spans="1:4" ht="38.1" customHeight="1" x14ac:dyDescent="0.25">
      <c r="A1" s="8" t="s">
        <v>21</v>
      </c>
      <c r="B1" s="9"/>
      <c r="C1" s="9"/>
      <c r="D1" s="9"/>
    </row>
    <row r="2" spans="1:4" ht="36" customHeight="1" x14ac:dyDescent="0.25">
      <c r="A2" s="9" t="s">
        <v>22</v>
      </c>
      <c r="B2" s="9"/>
      <c r="C2" s="9"/>
      <c r="D2" s="9"/>
    </row>
    <row r="4" spans="1:4" ht="30" customHeight="1" x14ac:dyDescent="0.25">
      <c r="A4" s="1" t="s">
        <v>23</v>
      </c>
      <c r="B4" s="1" t="s">
        <v>24</v>
      </c>
      <c r="C4" s="1" t="s">
        <v>25</v>
      </c>
    </row>
    <row r="5" spans="1:4" ht="30" customHeight="1" x14ac:dyDescent="0.25">
      <c r="A5" s="3" t="s">
        <v>26</v>
      </c>
      <c r="B5" s="3">
        <v>900</v>
      </c>
      <c r="C5" s="3">
        <v>300</v>
      </c>
    </row>
    <row r="6" spans="1:4" ht="30" customHeight="1" x14ac:dyDescent="0.25">
      <c r="A6" s="3" t="s">
        <v>27</v>
      </c>
      <c r="B6" s="3">
        <v>720</v>
      </c>
      <c r="C6" s="3">
        <v>480</v>
      </c>
    </row>
    <row r="7" spans="1:4" ht="30" customHeight="1" x14ac:dyDescent="0.25">
      <c r="A7" s="3" t="s">
        <v>28</v>
      </c>
      <c r="B7" s="3">
        <v>180</v>
      </c>
      <c r="C7" s="3">
        <v>-180</v>
      </c>
    </row>
    <row r="8" spans="1:4" ht="30" customHeight="1" x14ac:dyDescent="0.25">
      <c r="A8" s="3" t="s">
        <v>29</v>
      </c>
      <c r="B8" s="3">
        <v>-180</v>
      </c>
      <c r="C8" s="3">
        <v>180</v>
      </c>
    </row>
    <row r="9" spans="1:4" ht="30" customHeight="1" x14ac:dyDescent="0.25">
      <c r="A9" s="3" t="s">
        <v>30</v>
      </c>
      <c r="B9" s="3">
        <v>720</v>
      </c>
      <c r="C9" s="3">
        <v>480</v>
      </c>
    </row>
    <row r="12" spans="1:4" ht="54.95" customHeight="1" x14ac:dyDescent="0.25">
      <c r="A12" s="9" t="s">
        <v>31</v>
      </c>
      <c r="B12" s="9"/>
      <c r="C12" s="9"/>
      <c r="D12" s="9"/>
    </row>
    <row r="14" spans="1:4" ht="54.95" customHeight="1" x14ac:dyDescent="0.25">
      <c r="A14" s="9" t="s">
        <v>32</v>
      </c>
      <c r="B14" s="9"/>
      <c r="C14" s="9"/>
      <c r="D14" s="9"/>
    </row>
    <row r="15" spans="1:4" ht="65.099999999999994" customHeight="1" x14ac:dyDescent="0.25">
      <c r="A15" s="9" t="s">
        <v>33</v>
      </c>
      <c r="B15" s="9"/>
      <c r="C15" s="9"/>
      <c r="D15" s="9"/>
    </row>
    <row r="16" spans="1:4" ht="69.95" customHeight="1" x14ac:dyDescent="0.25">
      <c r="A16" s="9" t="s">
        <v>34</v>
      </c>
      <c r="B16" s="9"/>
      <c r="C16" s="9"/>
      <c r="D16" s="9"/>
    </row>
    <row r="17" spans="1:4" ht="65.099999999999994" customHeight="1" x14ac:dyDescent="0.25">
      <c r="A17" s="9" t="s">
        <v>35</v>
      </c>
      <c r="B17" s="9"/>
      <c r="C17" s="9"/>
      <c r="D17" s="9"/>
    </row>
  </sheetData>
  <sheetProtection sheet="1"/>
  <mergeCells count="7">
    <mergeCell ref="A16:D16"/>
    <mergeCell ref="A17:D17"/>
    <mergeCell ref="A1:D1"/>
    <mergeCell ref="A2:D2"/>
    <mergeCell ref="A12:D12"/>
    <mergeCell ref="A14:D14"/>
    <mergeCell ref="A15:D15"/>
  </mergeCells>
  <pageMargins left="0.3" right="0.3" top="0.45" bottom="0.45" header="0.2" footer="0.2"/>
  <pageSetup fitToHeight="0" orientation="landscape"/>
  <headerFooter>
    <oddFooter>&amp;L Different Pay, Shared Plans &amp;R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6"/>
  <sheetViews>
    <sheetView showGridLines="0" workbookViewId="0">
      <pane ySplit="4" topLeftCell="A5" activePane="bottomLeft" state="frozen"/>
      <selection pane="bottomLeft"/>
    </sheetView>
  </sheetViews>
  <sheetFormatPr defaultRowHeight="15" x14ac:dyDescent="0.25"/>
  <cols>
    <col min="1" max="1" width="35" customWidth="1"/>
    <col min="2" max="3" width="26" customWidth="1"/>
    <col min="4" max="4" width="54" customWidth="1"/>
  </cols>
  <sheetData>
    <row r="1" spans="1:4" ht="38.1" customHeight="1" x14ac:dyDescent="0.25">
      <c r="A1" s="8" t="s">
        <v>36</v>
      </c>
      <c r="B1" s="9"/>
      <c r="C1" s="9"/>
      <c r="D1" s="9"/>
    </row>
    <row r="2" spans="1:4" ht="36" customHeight="1" x14ac:dyDescent="0.25">
      <c r="A2" s="9" t="s">
        <v>37</v>
      </c>
      <c r="B2" s="9"/>
      <c r="C2" s="9"/>
      <c r="D2" s="9"/>
    </row>
    <row r="4" spans="1:4" ht="39.950000000000003" customHeight="1" x14ac:dyDescent="0.25">
      <c r="A4" t="s">
        <v>38</v>
      </c>
      <c r="B4" s="10"/>
      <c r="C4" s="10"/>
    </row>
    <row r="5" spans="1:4" ht="39.950000000000003" customHeight="1" x14ac:dyDescent="0.25">
      <c r="A5" t="s">
        <v>39</v>
      </c>
      <c r="B5" s="10"/>
      <c r="C5" s="10"/>
    </row>
    <row r="6" spans="1:4" ht="39.950000000000003" customHeight="1" x14ac:dyDescent="0.25">
      <c r="A6" t="s">
        <v>40</v>
      </c>
      <c r="B6" s="11"/>
      <c r="C6" s="10"/>
    </row>
    <row r="7" spans="1:4" ht="39.950000000000003" customHeight="1" x14ac:dyDescent="0.25">
      <c r="A7" t="s">
        <v>41</v>
      </c>
      <c r="B7" s="11"/>
      <c r="C7" s="10"/>
    </row>
    <row r="8" spans="1:4" ht="39.950000000000003" customHeight="1" x14ac:dyDescent="0.25">
      <c r="A8" t="s">
        <v>42</v>
      </c>
      <c r="B8" s="10" t="s">
        <v>43</v>
      </c>
      <c r="C8" s="10"/>
      <c r="D8" t="s">
        <v>44</v>
      </c>
    </row>
    <row r="9" spans="1:4" ht="39.950000000000003" customHeight="1" x14ac:dyDescent="0.25">
      <c r="A9" t="s">
        <v>45</v>
      </c>
      <c r="B9" s="10"/>
      <c r="C9" s="10"/>
    </row>
    <row r="10" spans="1:4" ht="39.950000000000003" customHeight="1" x14ac:dyDescent="0.25">
      <c r="A10" t="s">
        <v>46</v>
      </c>
      <c r="B10" s="10"/>
      <c r="C10" s="10"/>
    </row>
    <row r="12" spans="1:4" ht="39.950000000000003" customHeight="1" x14ac:dyDescent="0.25">
      <c r="A12" t="s">
        <v>47</v>
      </c>
      <c r="B12" s="12"/>
      <c r="C12" s="10"/>
    </row>
    <row r="13" spans="1:4" ht="39.950000000000003" customHeight="1" x14ac:dyDescent="0.25">
      <c r="A13" t="s">
        <v>48</v>
      </c>
      <c r="B13" s="12"/>
      <c r="C13" s="10"/>
      <c r="D13" t="s">
        <v>49</v>
      </c>
    </row>
    <row r="14" spans="1:4" ht="39.950000000000003" customHeight="1" x14ac:dyDescent="0.25">
      <c r="A14" t="s">
        <v>50</v>
      </c>
      <c r="B14" s="12"/>
      <c r="C14" s="10"/>
    </row>
    <row r="15" spans="1:4" ht="39.950000000000003" customHeight="1" x14ac:dyDescent="0.25">
      <c r="A15" t="s">
        <v>51</v>
      </c>
      <c r="B15" s="12"/>
      <c r="C15" s="10"/>
      <c r="D15" t="s">
        <v>52</v>
      </c>
    </row>
    <row r="16" spans="1:4" ht="39.950000000000003" customHeight="1" x14ac:dyDescent="0.25">
      <c r="A16" t="s">
        <v>53</v>
      </c>
      <c r="B16" s="10"/>
      <c r="C16" s="10"/>
    </row>
    <row r="18" spans="1:4" ht="39.950000000000003" customHeight="1" x14ac:dyDescent="0.25">
      <c r="A18" t="s">
        <v>54</v>
      </c>
      <c r="B18" s="12"/>
      <c r="C18" s="10"/>
      <c r="D18" t="s">
        <v>55</v>
      </c>
    </row>
    <row r="19" spans="1:4" ht="39.950000000000003" customHeight="1" x14ac:dyDescent="0.25">
      <c r="A19" t="s">
        <v>56</v>
      </c>
      <c r="B19" s="12"/>
      <c r="C19" s="10"/>
    </row>
    <row r="20" spans="1:4" ht="39.950000000000003" customHeight="1" x14ac:dyDescent="0.25">
      <c r="A20" t="s">
        <v>57</v>
      </c>
      <c r="B20" s="12"/>
      <c r="C20" s="10"/>
    </row>
    <row r="21" spans="1:4" ht="39.950000000000003" customHeight="1" x14ac:dyDescent="0.25">
      <c r="A21" t="s">
        <v>58</v>
      </c>
      <c r="B21" s="12"/>
      <c r="C21" s="10"/>
    </row>
    <row r="22" spans="1:4" ht="39.950000000000003" customHeight="1" x14ac:dyDescent="0.25">
      <c r="A22" t="s">
        <v>59</v>
      </c>
      <c r="B22" s="10"/>
      <c r="C22" s="10"/>
    </row>
    <row r="23" spans="1:4" ht="39.950000000000003" customHeight="1" x14ac:dyDescent="0.25">
      <c r="A23" t="s">
        <v>60</v>
      </c>
      <c r="B23" s="10" t="s">
        <v>61</v>
      </c>
      <c r="C23" s="10"/>
    </row>
    <row r="24" spans="1:4" ht="39.950000000000003" customHeight="1" x14ac:dyDescent="0.25">
      <c r="A24" t="s">
        <v>62</v>
      </c>
      <c r="B24" s="10" t="s">
        <v>61</v>
      </c>
      <c r="C24" s="10"/>
      <c r="D24" t="s">
        <v>63</v>
      </c>
    </row>
    <row r="25" spans="1:4" ht="39.950000000000003" customHeight="1" x14ac:dyDescent="0.25">
      <c r="A25" t="s">
        <v>64</v>
      </c>
      <c r="B25" s="12"/>
      <c r="C25" s="10"/>
    </row>
    <row r="26" spans="1:4" ht="39.950000000000003" customHeight="1" x14ac:dyDescent="0.25">
      <c r="A26" t="s">
        <v>65</v>
      </c>
      <c r="B26" s="12"/>
      <c r="C26" s="10"/>
    </row>
    <row r="27" spans="1:4" ht="39.950000000000003" customHeight="1" x14ac:dyDescent="0.25">
      <c r="A27" t="s">
        <v>66</v>
      </c>
      <c r="B27" s="12"/>
      <c r="C27" s="10"/>
    </row>
    <row r="28" spans="1:4" ht="39.950000000000003" customHeight="1" x14ac:dyDescent="0.25">
      <c r="A28" t="s">
        <v>67</v>
      </c>
      <c r="B28" s="12"/>
      <c r="C28" s="10"/>
    </row>
    <row r="29" spans="1:4" ht="39.950000000000003" customHeight="1" x14ac:dyDescent="0.25">
      <c r="A29" t="s">
        <v>68</v>
      </c>
      <c r="B29" s="10"/>
      <c r="C29" s="10"/>
    </row>
    <row r="31" spans="1:4" ht="39.950000000000003" customHeight="1" x14ac:dyDescent="0.25">
      <c r="A31" t="s">
        <v>69</v>
      </c>
      <c r="B31" s="12"/>
      <c r="C31" s="10"/>
      <c r="D31" t="s">
        <v>70</v>
      </c>
    </row>
    <row r="32" spans="1:4" ht="39.950000000000003" customHeight="1" x14ac:dyDescent="0.25">
      <c r="A32" t="s">
        <v>71</v>
      </c>
      <c r="B32" s="10"/>
      <c r="C32" s="10"/>
      <c r="D32" t="s">
        <v>72</v>
      </c>
    </row>
    <row r="33" spans="1:4" ht="39.950000000000003" customHeight="1" x14ac:dyDescent="0.25">
      <c r="A33" t="s">
        <v>73</v>
      </c>
      <c r="B33" s="10"/>
      <c r="C33" s="10"/>
    </row>
    <row r="34" spans="1:4" ht="30" customHeight="1" x14ac:dyDescent="0.25">
      <c r="A34" t="s">
        <v>74</v>
      </c>
      <c r="B34" s="9" t="str">
        <f>IF(OR(LEN(B4)=0,LEN(B5)=0,COUNT(B6:B7)&lt;&gt;2,B6&gt;B7,B9&lt;&gt;"Yes",LEN(TRIM(B10))=0,AND(B8&lt;&gt;"None",B8&lt;&gt;"Checking",B8&lt;&gt;"Combined")),"PENDING PERIOD","READY")</f>
        <v>PENDING PERIOD</v>
      </c>
      <c r="C34" s="9"/>
      <c r="D34" s="9"/>
    </row>
    <row r="35" spans="1:4" ht="30" customHeight="1" x14ac:dyDescent="0.25">
      <c r="A35" t="s">
        <v>75</v>
      </c>
      <c r="B35" s="9" t="str">
        <f>IF(B34&lt;&gt;"READY",B34,IF(OR(AND(B8&lt;&gt;"None",OR(COUNT(B12,B15)&lt;&gt;2,MIN(B12,B15)&lt;0,B16&lt;&gt;"Yes")),AND(OR(B8="Combined",AND(B8="Checking",B23="Active")),OR(COUNT(B18,B21)&lt;&gt;2,MIN(B18,B21)&lt;0,B22&lt;&gt;"Yes"))),"PENDING CASH","READY"))</f>
        <v>PENDING PERIOD</v>
      </c>
      <c r="C35" s="9"/>
      <c r="D35" s="9"/>
    </row>
    <row r="36" spans="1:4" ht="30" customHeight="1" x14ac:dyDescent="0.25">
      <c r="A36" t="s">
        <v>76</v>
      </c>
      <c r="B36" s="9" t="str">
        <f>IF(B35&lt;&gt;"READY",B35,IF(OR(AND(B8&lt;&gt;"None",OR(COUNT(B13:B14)&lt;&gt;2,MIN(B13:B14)&lt;0,ABS(SUM(B13:B14)-B12)&gt;0.005)),AND(OR(B8="Combined",AND(B8="Checking",B23="Active")),OR(COUNT(B19:B20)&lt;&gt;2,MIN(B19:B20)&lt;0,ABS(SUM(B19:B20)-B18)&gt;0.005))),"PENDING OPENING ATTRIBUTION","READY"))</f>
        <v>PENDING PERIOD</v>
      </c>
      <c r="C36" s="9"/>
      <c r="D36" s="9"/>
    </row>
  </sheetData>
  <sheetProtection sheet="1"/>
  <mergeCells count="32">
    <mergeCell ref="B35:D35"/>
    <mergeCell ref="B36:D36"/>
    <mergeCell ref="B29:C29"/>
    <mergeCell ref="B31:C31"/>
    <mergeCell ref="B32:C32"/>
    <mergeCell ref="B33:C33"/>
    <mergeCell ref="B34:D34"/>
    <mergeCell ref="B24:C24"/>
    <mergeCell ref="B25:C25"/>
    <mergeCell ref="B26:C26"/>
    <mergeCell ref="B27:C27"/>
    <mergeCell ref="B28:C28"/>
    <mergeCell ref="B19:C19"/>
    <mergeCell ref="B20:C20"/>
    <mergeCell ref="B21:C21"/>
    <mergeCell ref="B22:C22"/>
    <mergeCell ref="B23:C23"/>
    <mergeCell ref="B13:C13"/>
    <mergeCell ref="B14:C14"/>
    <mergeCell ref="B15:C15"/>
    <mergeCell ref="B16:C16"/>
    <mergeCell ref="B18:C18"/>
    <mergeCell ref="B7:C7"/>
    <mergeCell ref="B8:C8"/>
    <mergeCell ref="B9:C9"/>
    <mergeCell ref="B10:C10"/>
    <mergeCell ref="B12:C12"/>
    <mergeCell ref="A1:D1"/>
    <mergeCell ref="A2:D2"/>
    <mergeCell ref="B4:C4"/>
    <mergeCell ref="B5:C5"/>
    <mergeCell ref="B6:C6"/>
  </mergeCells>
  <dataValidations count="3">
    <dataValidation type="list" allowBlank="1" showErrorMessage="1" errorTitle="Choose a listed value" error="Use the drop-down values." sqref="B8" xr:uid="{00000000-0002-0000-0200-000000000000}">
      <formula1>"None,Checking,Combined"</formula1>
    </dataValidation>
    <dataValidation type="list" allowBlank="1" showErrorMessage="1" errorTitle="Choose a listed value" error="Use the drop-down values." sqref="B9 B16 B22 B29 B32 B33" xr:uid="{00000000-0002-0000-0200-000001000000}">
      <formula1>"Yes,No"</formula1>
    </dataValidation>
    <dataValidation type="list" allowBlank="1" showErrorMessage="1" errorTitle="Choose a listed value" error="Use the drop-down values." sqref="B23 B24" xr:uid="{00000000-0002-0000-0200-000002000000}">
      <formula1>"Active,Inactive"</formula1>
    </dataValidation>
  </dataValidations>
  <pageMargins left="0.3" right="0.3" top="0.45" bottom="0.45" header="0.2" footer="0.2"/>
  <pageSetup fitToHeight="0" orientation="landscape"/>
  <headerFooter>
    <oddFooter>&amp;L Different Pay, Shared Plans &amp;R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16"/>
  <sheetViews>
    <sheetView showGridLines="0" workbookViewId="0">
      <pane ySplit="4" topLeftCell="A5" activePane="bottomLeft" state="frozen"/>
      <selection pane="bottomLeft"/>
    </sheetView>
  </sheetViews>
  <sheetFormatPr defaultRowHeight="15" x14ac:dyDescent="0.25"/>
  <cols>
    <col min="1" max="2" width="17" customWidth="1"/>
    <col min="3" max="4" width="14" customWidth="1"/>
    <col min="5" max="5" width="23" customWidth="1"/>
    <col min="6" max="6" width="15" customWidth="1"/>
    <col min="7" max="12" width="17" customWidth="1"/>
    <col min="13" max="13" width="42" customWidth="1"/>
    <col min="14" max="14" width="19" customWidth="1"/>
    <col min="15" max="15" width="16" customWidth="1"/>
    <col min="16" max="28" width="18" customWidth="1"/>
  </cols>
  <sheetData>
    <row r="1" spans="1:28" ht="38.1" customHeight="1" x14ac:dyDescent="0.25">
      <c r="A1" s="8" t="s">
        <v>77</v>
      </c>
      <c r="B1" s="9"/>
      <c r="C1" s="9"/>
      <c r="D1" s="9"/>
      <c r="E1" s="9"/>
      <c r="F1" s="9"/>
      <c r="G1" s="9"/>
      <c r="H1" s="9"/>
      <c r="I1" s="9"/>
      <c r="J1" s="9"/>
      <c r="K1" s="9"/>
      <c r="L1" s="9"/>
      <c r="M1" s="9"/>
      <c r="N1" s="9"/>
      <c r="O1" s="9"/>
      <c r="P1" s="9"/>
      <c r="Q1" s="9"/>
      <c r="R1" s="9"/>
      <c r="S1" s="9"/>
      <c r="T1" s="9"/>
      <c r="U1" s="9"/>
      <c r="V1" s="9"/>
      <c r="W1" s="9"/>
      <c r="X1" s="9"/>
      <c r="Y1" s="9"/>
      <c r="Z1" s="9"/>
      <c r="AA1" s="9"/>
      <c r="AB1" s="9"/>
    </row>
    <row r="2" spans="1:28" ht="36" customHeight="1" x14ac:dyDescent="0.25">
      <c r="A2" s="9" t="s">
        <v>78</v>
      </c>
      <c r="B2" s="9"/>
      <c r="C2" s="9"/>
      <c r="D2" s="9"/>
      <c r="E2" s="9"/>
      <c r="F2" s="9"/>
      <c r="G2" s="9"/>
      <c r="H2" s="9"/>
      <c r="I2" s="9"/>
      <c r="J2" s="9"/>
      <c r="K2" s="9"/>
      <c r="L2" s="9"/>
      <c r="M2" s="9"/>
      <c r="N2" s="9"/>
      <c r="O2" s="9"/>
      <c r="P2" s="9"/>
      <c r="Q2" s="9"/>
      <c r="R2" s="9"/>
      <c r="S2" s="9"/>
      <c r="T2" s="9"/>
      <c r="U2" s="9"/>
      <c r="V2" s="9"/>
      <c r="W2" s="9"/>
      <c r="X2" s="9"/>
      <c r="Y2" s="9"/>
      <c r="Z2" s="9"/>
      <c r="AA2" s="9"/>
      <c r="AB2" s="9"/>
    </row>
    <row r="4" spans="1:28" ht="54" customHeight="1" x14ac:dyDescent="0.25">
      <c r="A4" s="1" t="s">
        <v>79</v>
      </c>
      <c r="B4" s="1" t="s">
        <v>80</v>
      </c>
      <c r="C4" s="1" t="s">
        <v>81</v>
      </c>
      <c r="D4" s="1" t="s">
        <v>82</v>
      </c>
      <c r="E4" s="1" t="s">
        <v>83</v>
      </c>
      <c r="F4" s="1" t="s">
        <v>84</v>
      </c>
      <c r="G4" s="1" t="s">
        <v>85</v>
      </c>
      <c r="H4" s="1" t="s">
        <v>86</v>
      </c>
      <c r="I4" s="1" t="s">
        <v>87</v>
      </c>
      <c r="J4" s="1" t="s">
        <v>88</v>
      </c>
      <c r="K4" s="1" t="s">
        <v>89</v>
      </c>
      <c r="L4" s="1" t="s">
        <v>90</v>
      </c>
      <c r="M4" s="1" t="s">
        <v>91</v>
      </c>
      <c r="N4" s="1" t="s">
        <v>92</v>
      </c>
      <c r="O4" s="1" t="s">
        <v>93</v>
      </c>
      <c r="P4" s="1" t="s">
        <v>94</v>
      </c>
      <c r="Q4" s="1" t="s">
        <v>95</v>
      </c>
      <c r="R4" s="1" t="s">
        <v>96</v>
      </c>
      <c r="S4" s="1" t="s">
        <v>97</v>
      </c>
      <c r="T4" s="1" t="s">
        <v>98</v>
      </c>
      <c r="U4" s="1" t="s">
        <v>99</v>
      </c>
      <c r="V4" s="1" t="s">
        <v>100</v>
      </c>
      <c r="W4" s="1" t="s">
        <v>101</v>
      </c>
      <c r="X4" s="1" t="s">
        <v>102</v>
      </c>
      <c r="Y4" s="1" t="s">
        <v>103</v>
      </c>
      <c r="Z4" s="1" t="s">
        <v>104</v>
      </c>
      <c r="AA4" s="1" t="s">
        <v>105</v>
      </c>
      <c r="AB4" s="1" t="s">
        <v>106</v>
      </c>
    </row>
    <row r="5" spans="1:28" ht="62.1" customHeight="1" x14ac:dyDescent="0.25">
      <c r="A5" s="4"/>
      <c r="B5" s="4"/>
      <c r="C5" s="7"/>
      <c r="D5" s="7"/>
      <c r="E5" s="4"/>
      <c r="F5" s="5"/>
      <c r="G5" s="2"/>
      <c r="H5" s="2"/>
      <c r="I5" s="2"/>
      <c r="J5" s="2"/>
      <c r="K5" s="2"/>
      <c r="L5" s="2"/>
      <c r="M5" s="4"/>
      <c r="N5" s="2"/>
      <c r="O5" s="4"/>
      <c r="P5" s="3">
        <f>IF(O5="Historical",N(N5),SUMIF(Transactions!$H$5:$H$64,A5,Transactions!$X$5:$X$64))</f>
        <v>0</v>
      </c>
      <c r="Q5" s="3">
        <f t="shared" ref="Q5:Q16" si="0">P5+IF(AB5="Active",N(L5),0)</f>
        <v>0</v>
      </c>
      <c r="R5" s="3">
        <f t="shared" ref="R5:R16" si="1">ROUND(IF(E5="Locked ratio",Q5*F5,IF(E5="Equal",Q5/2,IF(E5="Proportional",IFERROR(Q5*(G5-I5)/(G5+H5-I5-J5),0),IF(E5="Equal remaining",(Q5+G5-I5-H5+J5)/2,N(K5))))),2)</f>
        <v>0</v>
      </c>
      <c r="S5" s="3">
        <f t="shared" ref="S5:S16" si="2">Q5-R5</f>
        <v>0</v>
      </c>
      <c r="T5" s="3">
        <f t="shared" ref="T5:T16" si="3">ROUND(P5*AA5,2)</f>
        <v>0</v>
      </c>
      <c r="U5" s="3">
        <f t="shared" ref="U5:U16" si="4">P5-T5</f>
        <v>0</v>
      </c>
      <c r="V5" s="3">
        <f t="shared" ref="V5:V16" si="5">IF(AB5="Active",IF(ISNUMBER(L5),ROUND(L5*AA5,2),"PENDING TARGET"),0)</f>
        <v>0</v>
      </c>
      <c r="W5" s="3">
        <f t="shared" ref="W5:W16" si="6">IF(AB5="Active",IF(ISNUMBER(L5),L5-V5,"PENDING TARGET"),0)</f>
        <v>0</v>
      </c>
      <c r="X5" s="3">
        <f t="shared" ref="X5:X16" si="7">MAX(0,-S5)</f>
        <v>0</v>
      </c>
      <c r="Y5" s="3">
        <f t="shared" ref="Y5:Y16" si="8">MAX(0,-R5)</f>
        <v>0</v>
      </c>
      <c r="Z5" t="str">
        <f t="shared" ref="Z5:Z16" si="9">IFERROR(IF(A5="","UNUSED",IF(OR(B5&lt;&gt;"Confirmed",COUNT(C5:D5)&lt;&gt;2,C5&gt;D5,LEN(TRIM(M5))=0,COUNTIF($A$5:$A$16,A5)&lt;&gt;1,AND(O5&lt;&gt;"Current",O5&lt;&gt;"Historical"),AND(AB5&lt;&gt;"Active",AB5&lt;&gt;"Inactive"),AND(OR(E5="Equal remaining",E5="Custom"),AB5="Active",OR(NOT(ISNUMBER(L5)),L5&lt;0)),AND(O5="Historical",E5&lt;&gt;"Locked ratio",OR(NOT(ISNUMBER(N5)),N5&lt;0)),AND(E5="Locked ratio",OR(NOT(ISNUMBER(F5)),F5&lt;0,F5&gt;1)),AND(E5="Custom",NOT(ISNUMBER(K5))),AND(OR(E5="Proportional",E5="Equal remaining"),OR(COUNT(G5:J5)&lt;&gt;4,MIN(G5:J5)&lt;0)),AND(E5="Proportional",OR(G5-I5&lt;0,H5-J5&lt;0,G5+H5-I5-J5&lt;=0)),AND(E5&lt;&gt;"Locked ratio",E5&lt;&gt;"Equal",E5&lt;&gt;"Proportional",E5&lt;&gt;"Equal remaining",E5&lt;&gt;"Custom"),AND(E5&lt;&gt;"Locked ratio",Q5&lt;0)),"PENDING AGREEMENT","READY")),"CHECK INVALID INPUT")</f>
        <v>UNUSED</v>
      </c>
      <c r="AA5" s="6">
        <f t="shared" ref="AA5:AA16" si="10">IF(E5="Locked ratio",N(F5),IF(Q5=0,0,IF(R5&lt;0,0,IF(S5&lt;0,1,R5/Q5))))</f>
        <v>0</v>
      </c>
      <c r="AB5" s="4"/>
    </row>
    <row r="6" spans="1:28" ht="62.1" customHeight="1" x14ac:dyDescent="0.25">
      <c r="A6" s="4"/>
      <c r="B6" s="4"/>
      <c r="C6" s="7"/>
      <c r="D6" s="7"/>
      <c r="E6" s="4"/>
      <c r="F6" s="5"/>
      <c r="G6" s="2"/>
      <c r="H6" s="2"/>
      <c r="I6" s="2"/>
      <c r="J6" s="2"/>
      <c r="K6" s="2"/>
      <c r="L6" s="2"/>
      <c r="M6" s="4"/>
      <c r="N6" s="2"/>
      <c r="O6" s="4"/>
      <c r="P6" s="3">
        <f>IF(O6="Historical",N(N6),SUMIF(Transactions!$H$5:$H$64,A6,Transactions!$X$5:$X$64))</f>
        <v>0</v>
      </c>
      <c r="Q6" s="3">
        <f t="shared" si="0"/>
        <v>0</v>
      </c>
      <c r="R6" s="3">
        <f t="shared" si="1"/>
        <v>0</v>
      </c>
      <c r="S6" s="3">
        <f t="shared" si="2"/>
        <v>0</v>
      </c>
      <c r="T6" s="3">
        <f t="shared" si="3"/>
        <v>0</v>
      </c>
      <c r="U6" s="3">
        <f t="shared" si="4"/>
        <v>0</v>
      </c>
      <c r="V6" s="3">
        <f t="shared" si="5"/>
        <v>0</v>
      </c>
      <c r="W6" s="3">
        <f t="shared" si="6"/>
        <v>0</v>
      </c>
      <c r="X6" s="3">
        <f t="shared" si="7"/>
        <v>0</v>
      </c>
      <c r="Y6" s="3">
        <f t="shared" si="8"/>
        <v>0</v>
      </c>
      <c r="Z6" t="str">
        <f t="shared" si="9"/>
        <v>UNUSED</v>
      </c>
      <c r="AA6" s="6">
        <f t="shared" si="10"/>
        <v>0</v>
      </c>
      <c r="AB6" s="4"/>
    </row>
    <row r="7" spans="1:28" ht="62.1" customHeight="1" x14ac:dyDescent="0.25">
      <c r="A7" s="4"/>
      <c r="B7" s="4"/>
      <c r="C7" s="7"/>
      <c r="D7" s="7"/>
      <c r="E7" s="4"/>
      <c r="F7" s="5"/>
      <c r="G7" s="2"/>
      <c r="H7" s="2"/>
      <c r="I7" s="2"/>
      <c r="J7" s="2"/>
      <c r="K7" s="2"/>
      <c r="L7" s="2"/>
      <c r="M7" s="4"/>
      <c r="N7" s="2"/>
      <c r="O7" s="4"/>
      <c r="P7" s="3">
        <f>IF(O7="Historical",N(N7),SUMIF(Transactions!$H$5:$H$64,A7,Transactions!$X$5:$X$64))</f>
        <v>0</v>
      </c>
      <c r="Q7" s="3">
        <f t="shared" si="0"/>
        <v>0</v>
      </c>
      <c r="R7" s="3">
        <f t="shared" si="1"/>
        <v>0</v>
      </c>
      <c r="S7" s="3">
        <f t="shared" si="2"/>
        <v>0</v>
      </c>
      <c r="T7" s="3">
        <f t="shared" si="3"/>
        <v>0</v>
      </c>
      <c r="U7" s="3">
        <f t="shared" si="4"/>
        <v>0</v>
      </c>
      <c r="V7" s="3">
        <f t="shared" si="5"/>
        <v>0</v>
      </c>
      <c r="W7" s="3">
        <f t="shared" si="6"/>
        <v>0</v>
      </c>
      <c r="X7" s="3">
        <f t="shared" si="7"/>
        <v>0</v>
      </c>
      <c r="Y7" s="3">
        <f t="shared" si="8"/>
        <v>0</v>
      </c>
      <c r="Z7" t="str">
        <f t="shared" si="9"/>
        <v>UNUSED</v>
      </c>
      <c r="AA7" s="6">
        <f t="shared" si="10"/>
        <v>0</v>
      </c>
      <c r="AB7" s="4"/>
    </row>
    <row r="8" spans="1:28" ht="62.1" customHeight="1" x14ac:dyDescent="0.25">
      <c r="A8" s="4"/>
      <c r="B8" s="4"/>
      <c r="C8" s="7"/>
      <c r="D8" s="7"/>
      <c r="E8" s="4"/>
      <c r="F8" s="5"/>
      <c r="G8" s="2"/>
      <c r="H8" s="2"/>
      <c r="I8" s="2"/>
      <c r="J8" s="2"/>
      <c r="K8" s="2"/>
      <c r="L8" s="2"/>
      <c r="M8" s="4"/>
      <c r="N8" s="2"/>
      <c r="O8" s="4"/>
      <c r="P8" s="3">
        <f>IF(O8="Historical",N(N8),SUMIF(Transactions!$H$5:$H$64,A8,Transactions!$X$5:$X$64))</f>
        <v>0</v>
      </c>
      <c r="Q8" s="3">
        <f t="shared" si="0"/>
        <v>0</v>
      </c>
      <c r="R8" s="3">
        <f t="shared" si="1"/>
        <v>0</v>
      </c>
      <c r="S8" s="3">
        <f t="shared" si="2"/>
        <v>0</v>
      </c>
      <c r="T8" s="3">
        <f t="shared" si="3"/>
        <v>0</v>
      </c>
      <c r="U8" s="3">
        <f t="shared" si="4"/>
        <v>0</v>
      </c>
      <c r="V8" s="3">
        <f t="shared" si="5"/>
        <v>0</v>
      </c>
      <c r="W8" s="3">
        <f t="shared" si="6"/>
        <v>0</v>
      </c>
      <c r="X8" s="3">
        <f t="shared" si="7"/>
        <v>0</v>
      </c>
      <c r="Y8" s="3">
        <f t="shared" si="8"/>
        <v>0</v>
      </c>
      <c r="Z8" t="str">
        <f t="shared" si="9"/>
        <v>UNUSED</v>
      </c>
      <c r="AA8" s="6">
        <f t="shared" si="10"/>
        <v>0</v>
      </c>
      <c r="AB8" s="4"/>
    </row>
    <row r="9" spans="1:28" ht="62.1" customHeight="1" x14ac:dyDescent="0.25">
      <c r="A9" s="4"/>
      <c r="B9" s="4"/>
      <c r="C9" s="7"/>
      <c r="D9" s="7"/>
      <c r="E9" s="4"/>
      <c r="F9" s="5"/>
      <c r="G9" s="2"/>
      <c r="H9" s="2"/>
      <c r="I9" s="2"/>
      <c r="J9" s="2"/>
      <c r="K9" s="2"/>
      <c r="L9" s="2"/>
      <c r="M9" s="4"/>
      <c r="N9" s="2"/>
      <c r="O9" s="4"/>
      <c r="P9" s="3">
        <f>IF(O9="Historical",N(N9),SUMIF(Transactions!$H$5:$H$64,A9,Transactions!$X$5:$X$64))</f>
        <v>0</v>
      </c>
      <c r="Q9" s="3">
        <f t="shared" si="0"/>
        <v>0</v>
      </c>
      <c r="R9" s="3">
        <f t="shared" si="1"/>
        <v>0</v>
      </c>
      <c r="S9" s="3">
        <f t="shared" si="2"/>
        <v>0</v>
      </c>
      <c r="T9" s="3">
        <f t="shared" si="3"/>
        <v>0</v>
      </c>
      <c r="U9" s="3">
        <f t="shared" si="4"/>
        <v>0</v>
      </c>
      <c r="V9" s="3">
        <f t="shared" si="5"/>
        <v>0</v>
      </c>
      <c r="W9" s="3">
        <f t="shared" si="6"/>
        <v>0</v>
      </c>
      <c r="X9" s="3">
        <f t="shared" si="7"/>
        <v>0</v>
      </c>
      <c r="Y9" s="3">
        <f t="shared" si="8"/>
        <v>0</v>
      </c>
      <c r="Z9" t="str">
        <f t="shared" si="9"/>
        <v>UNUSED</v>
      </c>
      <c r="AA9" s="6">
        <f t="shared" si="10"/>
        <v>0</v>
      </c>
      <c r="AB9" s="4"/>
    </row>
    <row r="10" spans="1:28" ht="62.1" customHeight="1" x14ac:dyDescent="0.25">
      <c r="A10" s="4"/>
      <c r="B10" s="4"/>
      <c r="C10" s="7"/>
      <c r="D10" s="7"/>
      <c r="E10" s="4"/>
      <c r="F10" s="5"/>
      <c r="G10" s="2"/>
      <c r="H10" s="2"/>
      <c r="I10" s="2"/>
      <c r="J10" s="2"/>
      <c r="K10" s="2"/>
      <c r="L10" s="2"/>
      <c r="M10" s="4"/>
      <c r="N10" s="2"/>
      <c r="O10" s="4"/>
      <c r="P10" s="3">
        <f>IF(O10="Historical",N(N10),SUMIF(Transactions!$H$5:$H$64,A10,Transactions!$X$5:$X$64))</f>
        <v>0</v>
      </c>
      <c r="Q10" s="3">
        <f t="shared" si="0"/>
        <v>0</v>
      </c>
      <c r="R10" s="3">
        <f t="shared" si="1"/>
        <v>0</v>
      </c>
      <c r="S10" s="3">
        <f t="shared" si="2"/>
        <v>0</v>
      </c>
      <c r="T10" s="3">
        <f t="shared" si="3"/>
        <v>0</v>
      </c>
      <c r="U10" s="3">
        <f t="shared" si="4"/>
        <v>0</v>
      </c>
      <c r="V10" s="3">
        <f t="shared" si="5"/>
        <v>0</v>
      </c>
      <c r="W10" s="3">
        <f t="shared" si="6"/>
        <v>0</v>
      </c>
      <c r="X10" s="3">
        <f t="shared" si="7"/>
        <v>0</v>
      </c>
      <c r="Y10" s="3">
        <f t="shared" si="8"/>
        <v>0</v>
      </c>
      <c r="Z10" t="str">
        <f t="shared" si="9"/>
        <v>UNUSED</v>
      </c>
      <c r="AA10" s="6">
        <f t="shared" si="10"/>
        <v>0</v>
      </c>
      <c r="AB10" s="4"/>
    </row>
    <row r="11" spans="1:28" ht="62.1" customHeight="1" x14ac:dyDescent="0.25">
      <c r="A11" s="4"/>
      <c r="B11" s="4"/>
      <c r="C11" s="7"/>
      <c r="D11" s="7"/>
      <c r="E11" s="4"/>
      <c r="F11" s="5"/>
      <c r="G11" s="2"/>
      <c r="H11" s="2"/>
      <c r="I11" s="2"/>
      <c r="J11" s="2"/>
      <c r="K11" s="2"/>
      <c r="L11" s="2"/>
      <c r="M11" s="4"/>
      <c r="N11" s="2"/>
      <c r="O11" s="4"/>
      <c r="P11" s="3">
        <f>IF(O11="Historical",N(N11),SUMIF(Transactions!$H$5:$H$64,A11,Transactions!$X$5:$X$64))</f>
        <v>0</v>
      </c>
      <c r="Q11" s="3">
        <f t="shared" si="0"/>
        <v>0</v>
      </c>
      <c r="R11" s="3">
        <f t="shared" si="1"/>
        <v>0</v>
      </c>
      <c r="S11" s="3">
        <f t="shared" si="2"/>
        <v>0</v>
      </c>
      <c r="T11" s="3">
        <f t="shared" si="3"/>
        <v>0</v>
      </c>
      <c r="U11" s="3">
        <f t="shared" si="4"/>
        <v>0</v>
      </c>
      <c r="V11" s="3">
        <f t="shared" si="5"/>
        <v>0</v>
      </c>
      <c r="W11" s="3">
        <f t="shared" si="6"/>
        <v>0</v>
      </c>
      <c r="X11" s="3">
        <f t="shared" si="7"/>
        <v>0</v>
      </c>
      <c r="Y11" s="3">
        <f t="shared" si="8"/>
        <v>0</v>
      </c>
      <c r="Z11" t="str">
        <f t="shared" si="9"/>
        <v>UNUSED</v>
      </c>
      <c r="AA11" s="6">
        <f t="shared" si="10"/>
        <v>0</v>
      </c>
      <c r="AB11" s="4"/>
    </row>
    <row r="12" spans="1:28" ht="62.1" customHeight="1" x14ac:dyDescent="0.25">
      <c r="A12" s="4"/>
      <c r="B12" s="4"/>
      <c r="C12" s="7"/>
      <c r="D12" s="7"/>
      <c r="E12" s="4"/>
      <c r="F12" s="5"/>
      <c r="G12" s="2"/>
      <c r="H12" s="2"/>
      <c r="I12" s="2"/>
      <c r="J12" s="2"/>
      <c r="K12" s="2"/>
      <c r="L12" s="2"/>
      <c r="M12" s="4"/>
      <c r="N12" s="2"/>
      <c r="O12" s="4"/>
      <c r="P12" s="3">
        <f>IF(O12="Historical",N(N12),SUMIF(Transactions!$H$5:$H$64,A12,Transactions!$X$5:$X$64))</f>
        <v>0</v>
      </c>
      <c r="Q12" s="3">
        <f t="shared" si="0"/>
        <v>0</v>
      </c>
      <c r="R12" s="3">
        <f t="shared" si="1"/>
        <v>0</v>
      </c>
      <c r="S12" s="3">
        <f t="shared" si="2"/>
        <v>0</v>
      </c>
      <c r="T12" s="3">
        <f t="shared" si="3"/>
        <v>0</v>
      </c>
      <c r="U12" s="3">
        <f t="shared" si="4"/>
        <v>0</v>
      </c>
      <c r="V12" s="3">
        <f t="shared" si="5"/>
        <v>0</v>
      </c>
      <c r="W12" s="3">
        <f t="shared" si="6"/>
        <v>0</v>
      </c>
      <c r="X12" s="3">
        <f t="shared" si="7"/>
        <v>0</v>
      </c>
      <c r="Y12" s="3">
        <f t="shared" si="8"/>
        <v>0</v>
      </c>
      <c r="Z12" t="str">
        <f t="shared" si="9"/>
        <v>UNUSED</v>
      </c>
      <c r="AA12" s="6">
        <f t="shared" si="10"/>
        <v>0</v>
      </c>
      <c r="AB12" s="4"/>
    </row>
    <row r="13" spans="1:28" ht="62.1" customHeight="1" x14ac:dyDescent="0.25">
      <c r="A13" s="4"/>
      <c r="B13" s="4"/>
      <c r="C13" s="7"/>
      <c r="D13" s="7"/>
      <c r="E13" s="4"/>
      <c r="F13" s="5"/>
      <c r="G13" s="2"/>
      <c r="H13" s="2"/>
      <c r="I13" s="2"/>
      <c r="J13" s="2"/>
      <c r="K13" s="2"/>
      <c r="L13" s="2"/>
      <c r="M13" s="4"/>
      <c r="N13" s="2"/>
      <c r="O13" s="4"/>
      <c r="P13" s="3">
        <f>IF(O13="Historical",N(N13),SUMIF(Transactions!$H$5:$H$64,A13,Transactions!$X$5:$X$64))</f>
        <v>0</v>
      </c>
      <c r="Q13" s="3">
        <f t="shared" si="0"/>
        <v>0</v>
      </c>
      <c r="R13" s="3">
        <f t="shared" si="1"/>
        <v>0</v>
      </c>
      <c r="S13" s="3">
        <f t="shared" si="2"/>
        <v>0</v>
      </c>
      <c r="T13" s="3">
        <f t="shared" si="3"/>
        <v>0</v>
      </c>
      <c r="U13" s="3">
        <f t="shared" si="4"/>
        <v>0</v>
      </c>
      <c r="V13" s="3">
        <f t="shared" si="5"/>
        <v>0</v>
      </c>
      <c r="W13" s="3">
        <f t="shared" si="6"/>
        <v>0</v>
      </c>
      <c r="X13" s="3">
        <f t="shared" si="7"/>
        <v>0</v>
      </c>
      <c r="Y13" s="3">
        <f t="shared" si="8"/>
        <v>0</v>
      </c>
      <c r="Z13" t="str">
        <f t="shared" si="9"/>
        <v>UNUSED</v>
      </c>
      <c r="AA13" s="6">
        <f t="shared" si="10"/>
        <v>0</v>
      </c>
      <c r="AB13" s="4"/>
    </row>
    <row r="14" spans="1:28" ht="62.1" customHeight="1" x14ac:dyDescent="0.25">
      <c r="A14" s="4"/>
      <c r="B14" s="4"/>
      <c r="C14" s="7"/>
      <c r="D14" s="7"/>
      <c r="E14" s="4"/>
      <c r="F14" s="5"/>
      <c r="G14" s="2"/>
      <c r="H14" s="2"/>
      <c r="I14" s="2"/>
      <c r="J14" s="2"/>
      <c r="K14" s="2"/>
      <c r="L14" s="2"/>
      <c r="M14" s="4"/>
      <c r="N14" s="2"/>
      <c r="O14" s="4"/>
      <c r="P14" s="3">
        <f>IF(O14="Historical",N(N14),SUMIF(Transactions!$H$5:$H$64,A14,Transactions!$X$5:$X$64))</f>
        <v>0</v>
      </c>
      <c r="Q14" s="3">
        <f t="shared" si="0"/>
        <v>0</v>
      </c>
      <c r="R14" s="3">
        <f t="shared" si="1"/>
        <v>0</v>
      </c>
      <c r="S14" s="3">
        <f t="shared" si="2"/>
        <v>0</v>
      </c>
      <c r="T14" s="3">
        <f t="shared" si="3"/>
        <v>0</v>
      </c>
      <c r="U14" s="3">
        <f t="shared" si="4"/>
        <v>0</v>
      </c>
      <c r="V14" s="3">
        <f t="shared" si="5"/>
        <v>0</v>
      </c>
      <c r="W14" s="3">
        <f t="shared" si="6"/>
        <v>0</v>
      </c>
      <c r="X14" s="3">
        <f t="shared" si="7"/>
        <v>0</v>
      </c>
      <c r="Y14" s="3">
        <f t="shared" si="8"/>
        <v>0</v>
      </c>
      <c r="Z14" t="str">
        <f t="shared" si="9"/>
        <v>UNUSED</v>
      </c>
      <c r="AA14" s="6">
        <f t="shared" si="10"/>
        <v>0</v>
      </c>
      <c r="AB14" s="4"/>
    </row>
    <row r="15" spans="1:28" ht="62.1" customHeight="1" x14ac:dyDescent="0.25">
      <c r="A15" s="4"/>
      <c r="B15" s="4"/>
      <c r="C15" s="7"/>
      <c r="D15" s="7"/>
      <c r="E15" s="4"/>
      <c r="F15" s="5"/>
      <c r="G15" s="2"/>
      <c r="H15" s="2"/>
      <c r="I15" s="2"/>
      <c r="J15" s="2"/>
      <c r="K15" s="2"/>
      <c r="L15" s="2"/>
      <c r="M15" s="4"/>
      <c r="N15" s="2"/>
      <c r="O15" s="4"/>
      <c r="P15" s="3">
        <f>IF(O15="Historical",N(N15),SUMIF(Transactions!$H$5:$H$64,A15,Transactions!$X$5:$X$64))</f>
        <v>0</v>
      </c>
      <c r="Q15" s="3">
        <f t="shared" si="0"/>
        <v>0</v>
      </c>
      <c r="R15" s="3">
        <f t="shared" si="1"/>
        <v>0</v>
      </c>
      <c r="S15" s="3">
        <f t="shared" si="2"/>
        <v>0</v>
      </c>
      <c r="T15" s="3">
        <f t="shared" si="3"/>
        <v>0</v>
      </c>
      <c r="U15" s="3">
        <f t="shared" si="4"/>
        <v>0</v>
      </c>
      <c r="V15" s="3">
        <f t="shared" si="5"/>
        <v>0</v>
      </c>
      <c r="W15" s="3">
        <f t="shared" si="6"/>
        <v>0</v>
      </c>
      <c r="X15" s="3">
        <f t="shared" si="7"/>
        <v>0</v>
      </c>
      <c r="Y15" s="3">
        <f t="shared" si="8"/>
        <v>0</v>
      </c>
      <c r="Z15" t="str">
        <f t="shared" si="9"/>
        <v>UNUSED</v>
      </c>
      <c r="AA15" s="6">
        <f t="shared" si="10"/>
        <v>0</v>
      </c>
      <c r="AB15" s="4"/>
    </row>
    <row r="16" spans="1:28" ht="62.1" customHeight="1" x14ac:dyDescent="0.25">
      <c r="A16" s="4"/>
      <c r="B16" s="4"/>
      <c r="C16" s="7"/>
      <c r="D16" s="7"/>
      <c r="E16" s="4"/>
      <c r="F16" s="5"/>
      <c r="G16" s="2"/>
      <c r="H16" s="2"/>
      <c r="I16" s="2"/>
      <c r="J16" s="2"/>
      <c r="K16" s="2"/>
      <c r="L16" s="2"/>
      <c r="M16" s="4"/>
      <c r="N16" s="2"/>
      <c r="O16" s="4"/>
      <c r="P16" s="3">
        <f>IF(O16="Historical",N(N16),SUMIF(Transactions!$H$5:$H$64,A16,Transactions!$X$5:$X$64))</f>
        <v>0</v>
      </c>
      <c r="Q16" s="3">
        <f t="shared" si="0"/>
        <v>0</v>
      </c>
      <c r="R16" s="3">
        <f t="shared" si="1"/>
        <v>0</v>
      </c>
      <c r="S16" s="3">
        <f t="shared" si="2"/>
        <v>0</v>
      </c>
      <c r="T16" s="3">
        <f t="shared" si="3"/>
        <v>0</v>
      </c>
      <c r="U16" s="3">
        <f t="shared" si="4"/>
        <v>0</v>
      </c>
      <c r="V16" s="3">
        <f t="shared" si="5"/>
        <v>0</v>
      </c>
      <c r="W16" s="3">
        <f t="shared" si="6"/>
        <v>0</v>
      </c>
      <c r="X16" s="3">
        <f t="shared" si="7"/>
        <v>0</v>
      </c>
      <c r="Y16" s="3">
        <f t="shared" si="8"/>
        <v>0</v>
      </c>
      <c r="Z16" t="str">
        <f t="shared" si="9"/>
        <v>UNUSED</v>
      </c>
      <c r="AA16" s="6">
        <f t="shared" si="10"/>
        <v>0</v>
      </c>
      <c r="AB16" s="4"/>
    </row>
  </sheetData>
  <sheetProtection sheet="1"/>
  <mergeCells count="2">
    <mergeCell ref="A1:AB1"/>
    <mergeCell ref="A2:AB2"/>
  </mergeCells>
  <dataValidations count="4">
    <dataValidation type="list" allowBlank="1" showErrorMessage="1" errorTitle="Choose a listed value" error="Use the drop-down values." sqref="B5:B16" xr:uid="{00000000-0002-0000-0300-000000000000}">
      <formula1>"Confirmed,Proposed"</formula1>
    </dataValidation>
    <dataValidation type="list" allowBlank="1" showErrorMessage="1" errorTitle="Choose a listed value" error="Use the drop-down values." sqref="E5:E16" xr:uid="{00000000-0002-0000-0300-000001000000}">
      <formula1>"Locked ratio,Equal,Proportional,Equal remaining,Custom"</formula1>
    </dataValidation>
    <dataValidation type="list" allowBlank="1" showErrorMessage="1" errorTitle="Choose a listed value" error="Use the drop-down values." sqref="O5:O16" xr:uid="{00000000-0002-0000-0300-000002000000}">
      <formula1>"Current,Historical"</formula1>
    </dataValidation>
    <dataValidation type="list" allowBlank="1" showErrorMessage="1" errorTitle="Choose a listed value" error="Use the drop-down values." sqref="AB5:AB16" xr:uid="{00000000-0002-0000-0300-000003000000}">
      <formula1>"Active,Inactive"</formula1>
    </dataValidation>
  </dataValidations>
  <pageMargins left="0.3" right="0.3" top="0.45" bottom="0.45" header="0.2" footer="0.2"/>
  <pageSetup fitToHeight="0" orientation="landscape"/>
  <headerFooter>
    <oddFooter>&amp;L Different Pay, Shared Plans &amp;R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D66"/>
  <sheetViews>
    <sheetView showGridLines="0" workbookViewId="0">
      <pane ySplit="4" topLeftCell="A5" activePane="bottomLeft" state="frozen"/>
      <selection pane="bottomLeft"/>
    </sheetView>
  </sheetViews>
  <sheetFormatPr defaultRowHeight="15" x14ac:dyDescent="0.25"/>
  <cols>
    <col min="1" max="1" width="17" customWidth="1"/>
    <col min="2" max="2" width="14" customWidth="1"/>
    <col min="3" max="3" width="16" customWidth="1"/>
    <col min="4" max="4" width="22" customWidth="1"/>
    <col min="5" max="5" width="17" customWidth="1"/>
    <col min="6" max="7" width="18" customWidth="1"/>
    <col min="8" max="8" width="17" customWidth="1"/>
    <col min="9" max="9" width="18" customWidth="1"/>
    <col min="10" max="10" width="44" customWidth="1"/>
    <col min="11" max="13" width="17" customWidth="1"/>
    <col min="14" max="14" width="22" customWidth="1"/>
    <col min="15" max="15" width="18" customWidth="1"/>
    <col min="16" max="16" width="42" customWidth="1"/>
    <col min="17" max="17" width="28" customWidth="1"/>
    <col min="18" max="19" width="32" customWidth="1"/>
    <col min="20" max="56" width="16" hidden="1" customWidth="1"/>
  </cols>
  <sheetData>
    <row r="1" spans="1:56" ht="38.1" customHeight="1" x14ac:dyDescent="0.25">
      <c r="A1" s="8" t="s">
        <v>107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ht="36" customHeight="1" x14ac:dyDescent="0.25">
      <c r="A2" s="9" t="s">
        <v>108</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row>
    <row r="4" spans="1:56" ht="68.099999999999994" customHeight="1" x14ac:dyDescent="0.25">
      <c r="A4" s="1" t="s">
        <v>79</v>
      </c>
      <c r="B4" s="1" t="s">
        <v>109</v>
      </c>
      <c r="C4" s="1" t="s">
        <v>80</v>
      </c>
      <c r="D4" s="1" t="s">
        <v>110</v>
      </c>
      <c r="E4" s="1" t="s">
        <v>111</v>
      </c>
      <c r="F4" s="1" t="s">
        <v>112</v>
      </c>
      <c r="G4" s="1" t="s">
        <v>113</v>
      </c>
      <c r="H4" s="1" t="s">
        <v>114</v>
      </c>
      <c r="I4" s="1" t="s">
        <v>115</v>
      </c>
      <c r="J4" s="1" t="s">
        <v>116</v>
      </c>
      <c r="K4" s="1" t="s">
        <v>117</v>
      </c>
      <c r="L4" s="1" t="s">
        <v>118</v>
      </c>
      <c r="M4" s="1" t="s">
        <v>119</v>
      </c>
      <c r="N4" s="1" t="s">
        <v>120</v>
      </c>
      <c r="O4" s="1" t="s">
        <v>121</v>
      </c>
      <c r="P4" s="1" t="s">
        <v>122</v>
      </c>
      <c r="Q4" s="1" t="s">
        <v>123</v>
      </c>
      <c r="R4" s="1" t="s">
        <v>124</v>
      </c>
      <c r="S4" s="1" t="s">
        <v>125</v>
      </c>
      <c r="T4" s="1" t="s">
        <v>126</v>
      </c>
      <c r="U4" s="1" t="s">
        <v>127</v>
      </c>
      <c r="V4" s="1" t="s">
        <v>128</v>
      </c>
      <c r="W4" s="1" t="s">
        <v>129</v>
      </c>
      <c r="X4" s="1" t="s">
        <v>130</v>
      </c>
      <c r="Y4" s="1" t="s">
        <v>131</v>
      </c>
      <c r="Z4" s="1" t="s">
        <v>132</v>
      </c>
      <c r="AA4" s="1" t="s">
        <v>133</v>
      </c>
      <c r="AB4" s="1" t="s">
        <v>134</v>
      </c>
      <c r="AC4" s="1" t="s">
        <v>135</v>
      </c>
      <c r="AD4" s="1" t="s">
        <v>136</v>
      </c>
      <c r="AE4" s="1" t="s">
        <v>137</v>
      </c>
      <c r="AF4" s="1" t="s">
        <v>138</v>
      </c>
      <c r="AG4" s="1" t="s">
        <v>139</v>
      </c>
      <c r="AH4" s="1" t="s">
        <v>140</v>
      </c>
      <c r="AI4" s="1" t="s">
        <v>141</v>
      </c>
      <c r="AJ4" s="1" t="s">
        <v>142</v>
      </c>
      <c r="AK4" s="1" t="s">
        <v>143</v>
      </c>
      <c r="AL4" s="1" t="s">
        <v>144</v>
      </c>
      <c r="AM4" s="1" t="s">
        <v>145</v>
      </c>
      <c r="AN4" s="1" t="s">
        <v>146</v>
      </c>
      <c r="AO4" s="1" t="s">
        <v>147</v>
      </c>
      <c r="AP4" s="1" t="s">
        <v>102</v>
      </c>
      <c r="AQ4" s="1" t="s">
        <v>103</v>
      </c>
      <c r="AR4" s="1" t="s">
        <v>148</v>
      </c>
      <c r="AS4" s="1" t="s">
        <v>149</v>
      </c>
      <c r="AT4" s="1" t="s">
        <v>150</v>
      </c>
      <c r="AU4" s="1" t="s">
        <v>151</v>
      </c>
      <c r="AV4" s="1" t="s">
        <v>152</v>
      </c>
      <c r="AW4" s="1" t="s">
        <v>153</v>
      </c>
      <c r="AX4" s="1" t="s">
        <v>154</v>
      </c>
      <c r="AY4" s="1" t="s">
        <v>155</v>
      </c>
      <c r="AZ4" s="1" t="s">
        <v>156</v>
      </c>
      <c r="BA4" s="1" t="s">
        <v>157</v>
      </c>
      <c r="BB4" s="1" t="s">
        <v>158</v>
      </c>
      <c r="BC4" s="1" t="s">
        <v>159</v>
      </c>
      <c r="BD4" s="1" t="s">
        <v>160</v>
      </c>
    </row>
    <row r="5" spans="1:56" ht="63.95" customHeight="1" x14ac:dyDescent="0.25">
      <c r="A5" s="4"/>
      <c r="B5" s="7"/>
      <c r="C5" s="4"/>
      <c r="D5" s="4"/>
      <c r="E5" s="2"/>
      <c r="F5" s="4"/>
      <c r="G5" s="4"/>
      <c r="H5" s="4"/>
      <c r="I5" s="4"/>
      <c r="J5" s="4"/>
      <c r="K5" s="2"/>
      <c r="L5" s="2"/>
      <c r="M5" s="4"/>
      <c r="N5" s="4"/>
      <c r="O5" s="4"/>
      <c r="P5" s="4"/>
      <c r="Q5" t="str">
        <f>IFERROR(IF(COUNTA(A5:P5)=0,"UNUSED",IF(OR(A5="",NOT(ISNUMBER(B5)),NOT(ISNUMBER(E5)),E5&lt;0,COUNTIF($A$5:$A$64,A5)&lt;&gt;1,AND(C5&lt;&gt;"Confirmed",C5&lt;&gt;"Disputed",C5&lt;&gt;"Expected",C5&lt;&gt;"Historical"),AND(N5&lt;&gt;"Cash + allocation",N5&lt;&gt;"Cash only",N5&lt;&gt;"Allocation only"),LEN(TRIM(P5))=0),"CHECK ID / AMOUNT / STATUS",IF(C5="Expected","EXPECTED — EXCLUDED",IF(C5="Historical",IF(B5&lt;Setup!$B$6,"HISTORICAL — NO CASH","CHECK HISTORICAL DATE"),IF(OR(B5&lt;Setup!$B$6,B5&gt;Setup!$B$7,AND(D5="Expense",OR(AND(F5&lt;&gt;"A",F5&lt;&gt;"B",F5&lt;&gt;"Checking",F5&lt;&gt;"Savings"),G5&lt;&gt;"Merchant")),AND(D5="Refund",OR(F5&lt;&gt;"Merchant",AND(G5&lt;&gt;"A",G5&lt;&gt;"B",G5&lt;&gt;"Checking",G5&lt;&gt;"Savings"))),AND(D5="Contribution",OR(AND(F5&lt;&gt;"A",F5&lt;&gt;"B"),NOT(OR(G5="Checking",G5="Savings")))),AND(D5="ReturnContribution",OR(NOT(OR(F5="Checking",F5="Savings")),AND(G5&lt;&gt;"A",G5&lt;&gt;"B"))),AND(OR(D5="Settlement",D5="PersonalSupport"),OR(AND(M5&lt;&gt;"A",M5&lt;&gt;"B"),IF(M5="A",G5&lt;&gt;"B",G5&lt;&gt;"A"),AND(NOT(OR(F5="Checking",F5="Savings")),F5&lt;&gt;M5))),AND(OR(D5="InternalTransfer",D5="BoundaryTransfer"),OR(NOT(OR(F5="Checking",F5="Savings")),NOT(OR(G5="Checking",G5="Savings")),F5=G5)),AND(D5&lt;&gt;"Expense",D5&lt;&gt;"Refund",D5&lt;&gt;"Contribution",D5&lt;&gt;"ReturnContribution",D5&lt;&gt;"Settlement",D5&lt;&gt;"PersonalSupport",D5&lt;&gt;"InternalTransfer",D5&lt;&gt;"BoundaryTransfer"),AND(Setup!$B$8="None",OR(OR(F5="Checking",F5="Savings"),OR(G5="Checking",G5="Savings"))),AND(Setup!$B$8="Checking",Setup!$B$23&lt;&gt;"Active",OR(F5="Savings",G5="Savings")),AND(T5=1,MIN(AI5:AJ5)&lt; -0.005),AND(N5="Cash only",D5&lt;&gt;"Expense"),AND(N5="Allocation only",D5&lt;&gt;"Expense")),"CHECK CASH / SCOPE","READY"))))),"CHECK INVALID INPUT")</f>
        <v>UNUSED</v>
      </c>
      <c r="R5" t="str">
        <f>IFERROR(IF(AND(C5="Historical",D5="Expense",OR(IFERROR(INDEX(Agreements!$Z$5:$Z$16,MATCH(H5,Agreements!$A$5:$A$16,0)),"MISSING")&lt;&gt;"READY",B5&lt;IFERROR(INDEX(Agreements!$C$5:$C$16,MATCH(H5,Agreements!$A$5:$A$16,0)),0),B5&gt;IFERROR(INDEX(Agreements!$D$5:$D$16,MATCH(H5,Agreements!$A$5:$A$16,0)),0))),"CHECK HISTORICAL AGREEMENT",IF(AND(C5="Confirmed",D5="Refund",AND(IFERROR(INDEX($C$5:$C$64,MATCH(I5,$A$5:$A$64,0)),"")&lt;&gt;"Confirmed",IFERROR(INDEX($C$5:$C$64,MATCH(I5,$A$5:$A$64,0)),"")&lt;&gt;"Historical")),"CHECK REFUND SOURCE STATUS",IF(COUNTA(A5:P5)=0,"UNUSED",IF(OR(C5="Expected",C5="Historical"),"NOT CURRENT",IF(C5="Disputed","DISPUTED — CLOSE PENDING",IF(N5="Cash only",IF(ABS(BD5-E5)&lt;0.005,"READY","CHECK ALLOCATION TOTAL"),IF(OR(D5="Expense",D5="Refund"),IF(OR(IFERROR(INDEX(Agreements!$Z$5:$Z$16,MATCH(H5,Agreements!$A$5:$A$16,0)),0)&lt;&gt;"READY",AND(D5="Expense",OR(B5&lt;IFERROR(INDEX(Agreements!$C$5:$C$16,MATCH(H5,Agreements!$A$5:$A$16,0)),0),B5&gt;IFERROR(INDEX(Agreements!$D$5:$D$16,MATCH(H5,Agreements!$A$5:$A$16,0)),0))),AND(D5="Refund",OR(IFERROR(INDEX($D$5:$D$64,MATCH(I5,$A$5:$A$64,0)),"")&lt;&gt;"Expense",IFERROR(INDEX($H$5:$H$64,MATCH(I5,$A$5:$A$64,0)),"")&lt;&gt;H5,SUMIFS($E$5:$E$64,$I$5:$I$64,I5,$D$5:$D$64,"Refund",$C$5:$C$64,"&lt;&gt;Expected")&gt;N(IFERROR(INDEX($E$5:$E$64,MATCH(I5,$A$5:$A$64,0)),""))+0.005,I5="")),AND(N5="Allocation only",OR(O5="",IFERROR(INDEX($F$5:$F$64,MATCH(O5,$A$5:$A$64,0)),"")&lt;&gt;F5,IFERROR(INDEX($N$5:$N$64,MATCH(O5,$A$5:$A$64,0)),"")&lt;&gt;"Cash only")),AND(Setup!$B$8="Checking",OR(F5="Savings",G5="Savings"))),"CHECK AGREEMENT / REFUND / SCOPE","READY"),"READY"))))))),"CHECK INVALID INPUT")</f>
        <v>UNUSED</v>
      </c>
      <c r="S5" t="str">
        <f>IFERROR(IF(COUNTA(A5:P5)=0,"UNUSED",IF(NOT(AND(T5=1,OR(OR(F5="Checking",F5="Savings"),AND(D5="Refund",OR(G5="Checking",G5="Savings"))))),"READY",IF(OR(COUNT(K5:L5)&lt;&gt;2,MIN(K5:L5)&lt;0,ABS(SUM(K5:L5)-E5)&gt;0.005,AND(OR(F5="Checking",F5="Savings"),OR(K5&gt;IF(F5="Checking",N(Setup!$B$13),N(Setup!$B$19))+0.005,L5&gt;IF(F5="Checking",N(Setup!$B$14),N(Setup!$B$20))+0.005)),AND(OR(D5="Settlement",D5="PersonalSupport"),IF(M5="A",ABS(K5-E5)&gt;0.005,ABS(L5-E5)&gt;0.005)),AND(D5="ReturnContribution",IF(G5="A",ABS(K5-E5)&gt;0.005,ABS(L5-E5)&gt;0.005)),AND(D5="Refund",ABS(K5-ROUND(E5*(IF(IFERROR(INDEX($F$5:$F$64,MATCH(I5,$A$5:$A$64,0)),"")="A",1,IF(IFERROR(INDEX($F$5:$F$64,MATCH(I5,$A$5:$A$64,0)),"")="B",0,IFERROR(IFERROR(INDEX($K$5:$K$64,MATCH(I5,$A$5:$A$64,0)),"")/IFERROR(INDEX($E$5:$E$64,MATCH(I5,$A$5:$A$64,0)),""),0)))),2))&gt;0.005)),"CHECK SOURCE ATTRIBUTION","READY"))),"CHECK INVALID INPUT")</f>
        <v>UNUSED</v>
      </c>
      <c r="T5">
        <f t="shared" ref="T5:T36" si="0">IF(AND(BC5,N5&lt;&gt;"Allocation only",OR(C5="Confirmed",C5="Disputed")),1,0)</f>
        <v>0</v>
      </c>
      <c r="U5">
        <f t="shared" ref="U5:U36" si="1">IF(AND(A5&lt;&gt;"",C5="Confirmed",N5&lt;&gt;"Cash only",OR(D5="Expense",D5="Refund")),1,0)</f>
        <v>0</v>
      </c>
      <c r="V5">
        <f>IFERROR(MATCH(H5,Agreements!$A$5:$A$16,0),0)</f>
        <v>0</v>
      </c>
      <c r="W5" s="6">
        <f>IF(D5="Refund",IFERROR(INDEX(Agreements!$AA$5:$AA$16,MATCH(IFERROR(INDEX($H$5:$H$64,MATCH(I5,$A$5:$A$64,0)),""),Agreements!$A$5:$A$16,0)),0),IFERROR(INDEX(Agreements!$AA$5:$AA$16,MATCH(H5,Agreements!$A$5:$A$16,0)),0))</f>
        <v>0</v>
      </c>
      <c r="X5" s="3">
        <f t="shared" ref="X5:X36" si="2">IF(U5=1,IF(D5="Refund",-N(E5),N(E5)),0)</f>
        <v>0</v>
      </c>
      <c r="Y5" s="3">
        <f t="shared" ref="Y5:Y36" si="3">ROUND(X5*W5,2)</f>
        <v>0</v>
      </c>
      <c r="Z5" s="3">
        <f t="shared" ref="Z5:Z36" si="4">X5-Y5</f>
        <v>0</v>
      </c>
      <c r="AA5" s="3">
        <f t="shared" ref="AA5:AA36" si="5">IF(T5=1,IF(AND(D5="Expense",F5="A"),N(E5),IF(AND(D5="Refund",G5="A"),-N(E5),0)),0)</f>
        <v>0</v>
      </c>
      <c r="AB5" s="3">
        <f t="shared" ref="AB5:AB36" si="6">IF(T5=1,IF(AND(D5="Expense",F5="B"),N(E5),IF(AND(D5="Refund",G5="B"),-N(E5),0)),0)</f>
        <v>0</v>
      </c>
      <c r="AC5" s="3">
        <f t="shared" ref="AC5:AC36" si="7">IF(T5=1,N(E5)*(IF(G5="Checking",1,0)-IF(F5="Checking",1,0)),0)</f>
        <v>0</v>
      </c>
      <c r="AD5" s="3">
        <f t="shared" ref="AD5:AD36" si="8">IF(T5=1,N(E5)*(IF(G5="Savings",1,0)-IF(F5="Savings",1,0)),0)</f>
        <v>0</v>
      </c>
      <c r="AE5" s="3">
        <f t="shared" ref="AE5:AE36" si="9">IF(T5=1,(IF(D5="Contribution",IF(F5="A",N(E5),0),N(K5)))*(IF(G5="Checking",1,0)-IF(F5="Checking",1,0)),0)</f>
        <v>0</v>
      </c>
      <c r="AF5" s="3">
        <f t="shared" ref="AF5:AF36" si="10">IF(T5=1,(IF(D5="Contribution",IF(F5="B",N(E5),0),N(L5)))*(IF(G5="Checking",1,0)-IF(F5="Checking",1,0)),0)</f>
        <v>0</v>
      </c>
      <c r="AG5" s="3">
        <f t="shared" ref="AG5:AG36" si="11">IF(T5=1,(IF(D5="Contribution",IF(F5="A",N(E5),0),N(K5)))*(IF(G5="Savings",1,0)-IF(F5="Savings",1,0)),0)</f>
        <v>0</v>
      </c>
      <c r="AH5" s="3">
        <f t="shared" ref="AH5:AH36" si="12">IF(T5=1,(IF(D5="Contribution",IF(F5="B",N(E5),0),N(L5)))*(IF(G5="Savings",1,0)-IF(F5="Savings",1,0)),0)</f>
        <v>0</v>
      </c>
      <c r="AI5" s="3">
        <f>N(Setup!$B$12)+SUM(AC$5:AC5)</f>
        <v>0</v>
      </c>
      <c r="AJ5" s="3">
        <f>N(Setup!$B$18)+SUM(AD$5:AD5)</f>
        <v>0</v>
      </c>
      <c r="AK5" s="3">
        <f>N(Setup!$B$13)+SUM(AE$5:AE5)</f>
        <v>0</v>
      </c>
      <c r="AL5" s="3">
        <f>N(Setup!$B$14)+SUM(AF$5:AF5)</f>
        <v>0</v>
      </c>
      <c r="AM5" s="3">
        <f>N(Setup!$B$19)+SUM(AG$5:AG5)</f>
        <v>0</v>
      </c>
      <c r="AN5" s="3">
        <f>N(Setup!$B$20)+SUM(AH$5:AH5)</f>
        <v>0</v>
      </c>
      <c r="AO5" s="3">
        <f t="shared" ref="AO5:AO36" si="13">IF(AND(T5=1,D5="Settlement"),IF(M5="A",N(E5),-N(E5)),0)</f>
        <v>0</v>
      </c>
      <c r="AP5" s="3">
        <f t="shared" ref="AP5:AP36" si="14">IF(AND(T5=1,D5="PersonalSupport",M5="A"),N(E5),0)</f>
        <v>0</v>
      </c>
      <c r="AQ5" s="3">
        <f t="shared" ref="AQ5:AQ36" si="15">IF(AND(T5=1,D5="PersonalSupport",M5="B"),N(E5),0)</f>
        <v>0</v>
      </c>
      <c r="AR5" s="3">
        <f t="shared" ref="AR5:AR36" si="16">IF(AND(T5=1,D5="Contribution",BB5,F5="A"),N(E5),0)</f>
        <v>0</v>
      </c>
      <c r="AS5" s="3">
        <f t="shared" ref="AS5:AS36" si="17">IF(AND(T5=1,D5="Contribution",BB5,F5="B"),N(E5),0)</f>
        <v>0</v>
      </c>
      <c r="AT5" s="3">
        <f t="shared" ref="AT5:AT36" si="18">IF(AND(T5=1,BB5,NOT(BA5),F5="Savings",OR(D5="BoundaryTransfer",D5="InternalTransfer")),N(K5),0)</f>
        <v>0</v>
      </c>
      <c r="AU5" s="3">
        <f t="shared" ref="AU5:AU36" si="19">IF(AND(T5=1,BB5,NOT(BA5),F5="Savings",OR(D5="BoundaryTransfer",D5="InternalTransfer")),N(L5),0)</f>
        <v>0</v>
      </c>
      <c r="AV5" s="3">
        <f t="shared" ref="AV5:AV36" si="20">IF(AND(T5=1,BA5,NOT(BB5),D5&lt;&gt;"Expense",D5&lt;&gt;"ReturnContribution"),N(K5),0)</f>
        <v>0</v>
      </c>
      <c r="AW5" s="3">
        <f t="shared" ref="AW5:AW36" si="21">IF(AND(T5=1,BA5,NOT(BB5),D5&lt;&gt;"Expense",D5&lt;&gt;"ReturnContribution"),N(L5),0)</f>
        <v>0</v>
      </c>
      <c r="AX5" s="3">
        <f t="shared" ref="AX5:AX36" si="22">IF(AND(T5=1,BA5,D5="ReturnContribution"),N(K5),0)</f>
        <v>0</v>
      </c>
      <c r="AY5" s="3">
        <f t="shared" ref="AY5:AY36" si="23">IF(AND(T5=1,BA5,D5="ReturnContribution"),N(L5),0)</f>
        <v>0</v>
      </c>
      <c r="AZ5" t="b">
        <f t="shared" ref="AZ5:AZ36" si="24">AND(T5=1,OR(AND(D5="Expense",OR(F5="Checking",F5="Savings")),AND(D5="Refund",OR(G5="Checking",G5="Savings"))))</f>
        <v>0</v>
      </c>
      <c r="BA5" t="b">
        <f>OR(AND(F5="Checking",Setup!$B$8&lt;&gt;"None"),AND(F5="Savings",Setup!$B$8="Combined"))</f>
        <v>0</v>
      </c>
      <c r="BB5" t="b">
        <f>OR(AND(G5="Checking",Setup!$B$8&lt;&gt;"None"),AND(G5="Savings",Setup!$B$8="Combined"))</f>
        <v>0</v>
      </c>
      <c r="BC5" t="b">
        <f t="shared" ref="BC5:BC36" si="25">AND(A5&lt;&gt;"",C5&lt;&gt;"Historical",C5&lt;&gt;"Expected")</f>
        <v>0</v>
      </c>
      <c r="BD5" s="3">
        <f t="shared" ref="BD5:BD36" si="26">SUMIFS($E$5:$E$64,$O$5:$O$64,A5,$N$5:$N$64,"Allocation only",$C$5:$C$64,"Confirmed")</f>
        <v>0</v>
      </c>
    </row>
    <row r="6" spans="1:56" ht="63.95" customHeight="1" x14ac:dyDescent="0.25">
      <c r="A6" s="4"/>
      <c r="B6" s="7"/>
      <c r="C6" s="4"/>
      <c r="D6" s="4"/>
      <c r="E6" s="2"/>
      <c r="F6" s="4"/>
      <c r="G6" s="4"/>
      <c r="H6" s="4"/>
      <c r="I6" s="4"/>
      <c r="J6" s="4"/>
      <c r="K6" s="2"/>
      <c r="L6" s="2"/>
      <c r="M6" s="4"/>
      <c r="N6" s="4"/>
      <c r="O6" s="4"/>
      <c r="P6" s="4"/>
      <c r="Q6" t="str">
        <f>IFERROR(IF(AND(T6=1,SUMPRODUCT(--($B$5:B5&gt;B6),$T$5:T5)&gt;0),"CHECK CASH DATE ORDER",IF(COUNTA(A6:P6)=0,"UNUSED",IF(OR(A6="",NOT(ISNUMBER(B6)),NOT(ISNUMBER(E6)),E6&lt;0,COUNTIF($A$5:$A$64,A6)&lt;&gt;1,AND(C6&lt;&gt;"Confirmed",C6&lt;&gt;"Disputed",C6&lt;&gt;"Expected",C6&lt;&gt;"Historical"),AND(N6&lt;&gt;"Cash + allocation",N6&lt;&gt;"Cash only",N6&lt;&gt;"Allocation only"),LEN(TRIM(P6))=0),"CHECK ID / AMOUNT / STATUS",IF(C6="Expected","EXPECTED — EXCLUDED",IF(C6="Historical",IF(B6&lt;Setup!$B$6,"HISTORICAL — NO CASH","CHECK HISTORICAL DATE"),IF(OR(B6&lt;Setup!$B$6,B6&gt;Setup!$B$7,AND(D6="Expense",OR(AND(F6&lt;&gt;"A",F6&lt;&gt;"B",F6&lt;&gt;"Checking",F6&lt;&gt;"Savings"),G6&lt;&gt;"Merchant")),AND(D6="Refund",OR(F6&lt;&gt;"Merchant",AND(G6&lt;&gt;"A",G6&lt;&gt;"B",G6&lt;&gt;"Checking",G6&lt;&gt;"Savings"))),AND(D6="Contribution",OR(AND(F6&lt;&gt;"A",F6&lt;&gt;"B"),NOT(OR(G6="Checking",G6="Savings")))),AND(D6="ReturnContribution",OR(NOT(OR(F6="Checking",F6="Savings")),AND(G6&lt;&gt;"A",G6&lt;&gt;"B"))),AND(OR(D6="Settlement",D6="PersonalSupport"),OR(AND(M6&lt;&gt;"A",M6&lt;&gt;"B"),IF(M6="A",G6&lt;&gt;"B",G6&lt;&gt;"A"),AND(NOT(OR(F6="Checking",F6="Savings")),F6&lt;&gt;M6))),AND(OR(D6="InternalTransfer",D6="BoundaryTransfer"),OR(NOT(OR(F6="Checking",F6="Savings")),NOT(OR(G6="Checking",G6="Savings")),F6=G6)),AND(D6&lt;&gt;"Expense",D6&lt;&gt;"Refund",D6&lt;&gt;"Contribution",D6&lt;&gt;"ReturnContribution",D6&lt;&gt;"Settlement",D6&lt;&gt;"PersonalSupport",D6&lt;&gt;"InternalTransfer",D6&lt;&gt;"BoundaryTransfer"),AND(Setup!$B$8="None",OR(OR(F6="Checking",F6="Savings"),OR(G6="Checking",G6="Savings"))),AND(Setup!$B$8="Checking",Setup!$B$23&lt;&gt;"Active",OR(F6="Savings",G6="Savings")),AND(T6=1,MIN(AI6:AJ6)&lt; -0.005),AND(N6="Cash only",D6&lt;&gt;"Expense"),AND(N6="Allocation only",D6&lt;&gt;"Expense")),"CHECK CASH / SCOPE","READY")))))),"CHECK INVALID INPUT")</f>
        <v>UNUSED</v>
      </c>
      <c r="R6" t="str">
        <f>IFERROR(IF(AND(C6="Historical",D6="Expense",OR(IFERROR(INDEX(Agreements!$Z$5:$Z$16,MATCH(H6,Agreements!$A$5:$A$16,0)),"MISSING")&lt;&gt;"READY",B6&lt;IFERROR(INDEX(Agreements!$C$5:$C$16,MATCH(H6,Agreements!$A$5:$A$16,0)),0),B6&gt;IFERROR(INDEX(Agreements!$D$5:$D$16,MATCH(H6,Agreements!$A$5:$A$16,0)),0))),"CHECK HISTORICAL AGREEMENT",IF(AND(C6="Confirmed",D6="Refund",AND(IFERROR(INDEX($C$5:$C$64,MATCH(I6,$A$5:$A$64,0)),"")&lt;&gt;"Confirmed",IFERROR(INDEX($C$5:$C$64,MATCH(I6,$A$5:$A$64,0)),"")&lt;&gt;"Historical")),"CHECK REFUND SOURCE STATUS",IF(COUNTA(A6:P6)=0,"UNUSED",IF(OR(C6="Expected",C6="Historical"),"NOT CURRENT",IF(C6="Disputed","DISPUTED — CLOSE PENDING",IF(N6="Cash only",IF(ABS(BD6-E6)&lt;0.005,"READY","CHECK ALLOCATION TOTAL"),IF(OR(D6="Expense",D6="Refund"),IF(OR(IFERROR(INDEX(Agreements!$Z$5:$Z$16,MATCH(H6,Agreements!$A$5:$A$16,0)),0)&lt;&gt;"READY",AND(D6="Expense",OR(B6&lt;IFERROR(INDEX(Agreements!$C$5:$C$16,MATCH(H6,Agreements!$A$5:$A$16,0)),0),B6&gt;IFERROR(INDEX(Agreements!$D$5:$D$16,MATCH(H6,Agreements!$A$5:$A$16,0)),0))),AND(D6="Refund",OR(IFERROR(INDEX($D$5:$D$64,MATCH(I6,$A$5:$A$64,0)),"")&lt;&gt;"Expense",IFERROR(INDEX($H$5:$H$64,MATCH(I6,$A$5:$A$64,0)),"")&lt;&gt;H6,SUMIFS($E$5:$E$64,$I$5:$I$64,I6,$D$5:$D$64,"Refund",$C$5:$C$64,"&lt;&gt;Expected")&gt;N(IFERROR(INDEX($E$5:$E$64,MATCH(I6,$A$5:$A$64,0)),""))+0.005,I6="")),AND(N6="Allocation only",OR(O6="",IFERROR(INDEX($F$5:$F$64,MATCH(O6,$A$5:$A$64,0)),"")&lt;&gt;F6,IFERROR(INDEX($N$5:$N$64,MATCH(O6,$A$5:$A$64,0)),"")&lt;&gt;"Cash only")),AND(Setup!$B$8="Checking",OR(F6="Savings",G6="Savings"))),"CHECK AGREEMENT / REFUND / SCOPE","READY"),"READY"))))))),"CHECK INVALID INPUT")</f>
        <v>UNUSED</v>
      </c>
      <c r="S6" t="str">
        <f t="shared" ref="S6:S37" si="27">IFERROR(IF(COUNTA(A6:P6)=0,"UNUSED",IF(NOT(AND(T6=1,OR(OR(F6="Checking",F6="Savings"),AND(D6="Refund",OR(G6="Checking",G6="Savings"))))),"READY",IF(OR(COUNT(K6:L6)&lt;&gt;2,MIN(K6:L6)&lt;0,ABS(SUM(K6:L6)-E6)&gt;0.005,AND(OR(F6="Checking",F6="Savings"),OR(K6&gt;IF(F6="Checking",AK5,AM5)+0.005,L6&gt;IF(F6="Checking",AL5,AN5)+0.005)),AND(OR(D6="Settlement",D6="PersonalSupport"),IF(M6="A",ABS(K6-E6)&gt;0.005,ABS(L6-E6)&gt;0.005)),AND(D6="ReturnContribution",IF(G6="A",ABS(K6-E6)&gt;0.005,ABS(L6-E6)&gt;0.005)),AND(D6="Refund",ABS(K6-ROUND(E6*(IF(IFERROR(INDEX($F$5:$F$64,MATCH(I6,$A$5:$A$64,0)),"")="A",1,IF(IFERROR(INDEX($F$5:$F$64,MATCH(I6,$A$5:$A$64,0)),"")="B",0,IFERROR(IFERROR(INDEX($K$5:$K$64,MATCH(I6,$A$5:$A$64,0)),"")/IFERROR(INDEX($E$5:$E$64,MATCH(I6,$A$5:$A$64,0)),""),0)))),2))&gt;0.005)),"CHECK SOURCE ATTRIBUTION","READY"))),"CHECK INVALID INPUT")</f>
        <v>UNUSED</v>
      </c>
      <c r="T6">
        <f t="shared" si="0"/>
        <v>0</v>
      </c>
      <c r="U6">
        <f t="shared" si="1"/>
        <v>0</v>
      </c>
      <c r="V6">
        <f>IFERROR(MATCH(H6,Agreements!$A$5:$A$16,0),0)</f>
        <v>0</v>
      </c>
      <c r="W6" s="6">
        <f>IF(D6="Refund",IFERROR(INDEX(Agreements!$AA$5:$AA$16,MATCH(IFERROR(INDEX($H$5:$H$64,MATCH(I6,$A$5:$A$64,0)),""),Agreements!$A$5:$A$16,0)),0),IFERROR(INDEX(Agreements!$AA$5:$AA$16,MATCH(H6,Agreements!$A$5:$A$16,0)),0))</f>
        <v>0</v>
      </c>
      <c r="X6" s="3">
        <f t="shared" si="2"/>
        <v>0</v>
      </c>
      <c r="Y6" s="3">
        <f t="shared" si="3"/>
        <v>0</v>
      </c>
      <c r="Z6" s="3">
        <f t="shared" si="4"/>
        <v>0</v>
      </c>
      <c r="AA6" s="3">
        <f t="shared" si="5"/>
        <v>0</v>
      </c>
      <c r="AB6" s="3">
        <f t="shared" si="6"/>
        <v>0</v>
      </c>
      <c r="AC6" s="3">
        <f t="shared" si="7"/>
        <v>0</v>
      </c>
      <c r="AD6" s="3">
        <f t="shared" si="8"/>
        <v>0</v>
      </c>
      <c r="AE6" s="3">
        <f t="shared" si="9"/>
        <v>0</v>
      </c>
      <c r="AF6" s="3">
        <f t="shared" si="10"/>
        <v>0</v>
      </c>
      <c r="AG6" s="3">
        <f t="shared" si="11"/>
        <v>0</v>
      </c>
      <c r="AH6" s="3">
        <f t="shared" si="12"/>
        <v>0</v>
      </c>
      <c r="AI6" s="3">
        <f>N(Setup!$B$12)+SUM(AC$5:AC6)</f>
        <v>0</v>
      </c>
      <c r="AJ6" s="3">
        <f>N(Setup!$B$18)+SUM(AD$5:AD6)</f>
        <v>0</v>
      </c>
      <c r="AK6" s="3">
        <f>N(Setup!$B$13)+SUM(AE$5:AE6)</f>
        <v>0</v>
      </c>
      <c r="AL6" s="3">
        <f>N(Setup!$B$14)+SUM(AF$5:AF6)</f>
        <v>0</v>
      </c>
      <c r="AM6" s="3">
        <f>N(Setup!$B$19)+SUM(AG$5:AG6)</f>
        <v>0</v>
      </c>
      <c r="AN6" s="3">
        <f>N(Setup!$B$20)+SUM(AH$5:AH6)</f>
        <v>0</v>
      </c>
      <c r="AO6" s="3">
        <f t="shared" si="13"/>
        <v>0</v>
      </c>
      <c r="AP6" s="3">
        <f t="shared" si="14"/>
        <v>0</v>
      </c>
      <c r="AQ6" s="3">
        <f t="shared" si="15"/>
        <v>0</v>
      </c>
      <c r="AR6" s="3">
        <f t="shared" si="16"/>
        <v>0</v>
      </c>
      <c r="AS6" s="3">
        <f t="shared" si="17"/>
        <v>0</v>
      </c>
      <c r="AT6" s="3">
        <f t="shared" si="18"/>
        <v>0</v>
      </c>
      <c r="AU6" s="3">
        <f t="shared" si="19"/>
        <v>0</v>
      </c>
      <c r="AV6" s="3">
        <f t="shared" si="20"/>
        <v>0</v>
      </c>
      <c r="AW6" s="3">
        <f t="shared" si="21"/>
        <v>0</v>
      </c>
      <c r="AX6" s="3">
        <f t="shared" si="22"/>
        <v>0</v>
      </c>
      <c r="AY6" s="3">
        <f t="shared" si="23"/>
        <v>0</v>
      </c>
      <c r="AZ6" t="b">
        <f t="shared" si="24"/>
        <v>0</v>
      </c>
      <c r="BA6" t="b">
        <f>OR(AND(F6="Checking",Setup!$B$8&lt;&gt;"None"),AND(F6="Savings",Setup!$B$8="Combined"))</f>
        <v>0</v>
      </c>
      <c r="BB6" t="b">
        <f>OR(AND(G6="Checking",Setup!$B$8&lt;&gt;"None"),AND(G6="Savings",Setup!$B$8="Combined"))</f>
        <v>0</v>
      </c>
      <c r="BC6" t="b">
        <f t="shared" si="25"/>
        <v>0</v>
      </c>
      <c r="BD6" s="3">
        <f t="shared" si="26"/>
        <v>0</v>
      </c>
    </row>
    <row r="7" spans="1:56" ht="63.95" customHeight="1" x14ac:dyDescent="0.25">
      <c r="A7" s="4"/>
      <c r="B7" s="7"/>
      <c r="C7" s="4"/>
      <c r="D7" s="4"/>
      <c r="E7" s="2"/>
      <c r="F7" s="4"/>
      <c r="G7" s="4"/>
      <c r="H7" s="4"/>
      <c r="I7" s="4"/>
      <c r="J7" s="4"/>
      <c r="K7" s="2"/>
      <c r="L7" s="2"/>
      <c r="M7" s="4"/>
      <c r="N7" s="4"/>
      <c r="O7" s="4"/>
      <c r="P7" s="4"/>
      <c r="Q7" t="str">
        <f>IFERROR(IF(AND(T7=1,SUMPRODUCT(--($B$5:B6&gt;B7),$T$5:T6)&gt;0),"CHECK CASH DATE ORDER",IF(COUNTA(A7:P7)=0,"UNUSED",IF(OR(A7="",NOT(ISNUMBER(B7)),NOT(ISNUMBER(E7)),E7&lt;0,COUNTIF($A$5:$A$64,A7)&lt;&gt;1,AND(C7&lt;&gt;"Confirmed",C7&lt;&gt;"Disputed",C7&lt;&gt;"Expected",C7&lt;&gt;"Historical"),AND(N7&lt;&gt;"Cash + allocation",N7&lt;&gt;"Cash only",N7&lt;&gt;"Allocation only"),LEN(TRIM(P7))=0),"CHECK ID / AMOUNT / STATUS",IF(C7="Expected","EXPECTED — EXCLUDED",IF(C7="Historical",IF(B7&lt;Setup!$B$6,"HISTORICAL — NO CASH","CHECK HISTORICAL DATE"),IF(OR(B7&lt;Setup!$B$6,B7&gt;Setup!$B$7,AND(D7="Expense",OR(AND(F7&lt;&gt;"A",F7&lt;&gt;"B",F7&lt;&gt;"Checking",F7&lt;&gt;"Savings"),G7&lt;&gt;"Merchant")),AND(D7="Refund",OR(F7&lt;&gt;"Merchant",AND(G7&lt;&gt;"A",G7&lt;&gt;"B",G7&lt;&gt;"Checking",G7&lt;&gt;"Savings"))),AND(D7="Contribution",OR(AND(F7&lt;&gt;"A",F7&lt;&gt;"B"),NOT(OR(G7="Checking",G7="Savings")))),AND(D7="ReturnContribution",OR(NOT(OR(F7="Checking",F7="Savings")),AND(G7&lt;&gt;"A",G7&lt;&gt;"B"))),AND(OR(D7="Settlement",D7="PersonalSupport"),OR(AND(M7&lt;&gt;"A",M7&lt;&gt;"B"),IF(M7="A",G7&lt;&gt;"B",G7&lt;&gt;"A"),AND(NOT(OR(F7="Checking",F7="Savings")),F7&lt;&gt;M7))),AND(OR(D7="InternalTransfer",D7="BoundaryTransfer"),OR(NOT(OR(F7="Checking",F7="Savings")),NOT(OR(G7="Checking",G7="Savings")),F7=G7)),AND(D7&lt;&gt;"Expense",D7&lt;&gt;"Refund",D7&lt;&gt;"Contribution",D7&lt;&gt;"ReturnContribution",D7&lt;&gt;"Settlement",D7&lt;&gt;"PersonalSupport",D7&lt;&gt;"InternalTransfer",D7&lt;&gt;"BoundaryTransfer"),AND(Setup!$B$8="None",OR(OR(F7="Checking",F7="Savings"),OR(G7="Checking",G7="Savings"))),AND(Setup!$B$8="Checking",Setup!$B$23&lt;&gt;"Active",OR(F7="Savings",G7="Savings")),AND(T7=1,MIN(AI7:AJ7)&lt; -0.005),AND(N7="Cash only",D7&lt;&gt;"Expense"),AND(N7="Allocation only",D7&lt;&gt;"Expense")),"CHECK CASH / SCOPE","READY")))))),"CHECK INVALID INPUT")</f>
        <v>UNUSED</v>
      </c>
      <c r="R7" t="str">
        <f>IFERROR(IF(AND(C7="Historical",D7="Expense",OR(IFERROR(INDEX(Agreements!$Z$5:$Z$16,MATCH(H7,Agreements!$A$5:$A$16,0)),"MISSING")&lt;&gt;"READY",B7&lt;IFERROR(INDEX(Agreements!$C$5:$C$16,MATCH(H7,Agreements!$A$5:$A$16,0)),0),B7&gt;IFERROR(INDEX(Agreements!$D$5:$D$16,MATCH(H7,Agreements!$A$5:$A$16,0)),0))),"CHECK HISTORICAL AGREEMENT",IF(AND(C7="Confirmed",D7="Refund",AND(IFERROR(INDEX($C$5:$C$64,MATCH(I7,$A$5:$A$64,0)),"")&lt;&gt;"Confirmed",IFERROR(INDEX($C$5:$C$64,MATCH(I7,$A$5:$A$64,0)),"")&lt;&gt;"Historical")),"CHECK REFUND SOURCE STATUS",IF(COUNTA(A7:P7)=0,"UNUSED",IF(OR(C7="Expected",C7="Historical"),"NOT CURRENT",IF(C7="Disputed","DISPUTED — CLOSE PENDING",IF(N7="Cash only",IF(ABS(BD7-E7)&lt;0.005,"READY","CHECK ALLOCATION TOTAL"),IF(OR(D7="Expense",D7="Refund"),IF(OR(IFERROR(INDEX(Agreements!$Z$5:$Z$16,MATCH(H7,Agreements!$A$5:$A$16,0)),0)&lt;&gt;"READY",AND(D7="Expense",OR(B7&lt;IFERROR(INDEX(Agreements!$C$5:$C$16,MATCH(H7,Agreements!$A$5:$A$16,0)),0),B7&gt;IFERROR(INDEX(Agreements!$D$5:$D$16,MATCH(H7,Agreements!$A$5:$A$16,0)),0))),AND(D7="Refund",OR(IFERROR(INDEX($D$5:$D$64,MATCH(I7,$A$5:$A$64,0)),"")&lt;&gt;"Expense",IFERROR(INDEX($H$5:$H$64,MATCH(I7,$A$5:$A$64,0)),"")&lt;&gt;H7,SUMIFS($E$5:$E$64,$I$5:$I$64,I7,$D$5:$D$64,"Refund",$C$5:$C$64,"&lt;&gt;Expected")&gt;N(IFERROR(INDEX($E$5:$E$64,MATCH(I7,$A$5:$A$64,0)),""))+0.005,I7="")),AND(N7="Allocation only",OR(O7="",IFERROR(INDEX($F$5:$F$64,MATCH(O7,$A$5:$A$64,0)),"")&lt;&gt;F7,IFERROR(INDEX($N$5:$N$64,MATCH(O7,$A$5:$A$64,0)),"")&lt;&gt;"Cash only")),AND(Setup!$B$8="Checking",OR(F7="Savings",G7="Savings"))),"CHECK AGREEMENT / REFUND / SCOPE","READY"),"READY"))))))),"CHECK INVALID INPUT")</f>
        <v>UNUSED</v>
      </c>
      <c r="S7" t="str">
        <f t="shared" si="27"/>
        <v>UNUSED</v>
      </c>
      <c r="T7">
        <f t="shared" si="0"/>
        <v>0</v>
      </c>
      <c r="U7">
        <f t="shared" si="1"/>
        <v>0</v>
      </c>
      <c r="V7">
        <f>IFERROR(MATCH(H7,Agreements!$A$5:$A$16,0),0)</f>
        <v>0</v>
      </c>
      <c r="W7" s="6">
        <f>IF(D7="Refund",IFERROR(INDEX(Agreements!$AA$5:$AA$16,MATCH(IFERROR(INDEX($H$5:$H$64,MATCH(I7,$A$5:$A$64,0)),""),Agreements!$A$5:$A$16,0)),0),IFERROR(INDEX(Agreements!$AA$5:$AA$16,MATCH(H7,Agreements!$A$5:$A$16,0)),0))</f>
        <v>0</v>
      </c>
      <c r="X7" s="3">
        <f t="shared" si="2"/>
        <v>0</v>
      </c>
      <c r="Y7" s="3">
        <f t="shared" si="3"/>
        <v>0</v>
      </c>
      <c r="Z7" s="3">
        <f t="shared" si="4"/>
        <v>0</v>
      </c>
      <c r="AA7" s="3">
        <f t="shared" si="5"/>
        <v>0</v>
      </c>
      <c r="AB7" s="3">
        <f t="shared" si="6"/>
        <v>0</v>
      </c>
      <c r="AC7" s="3">
        <f t="shared" si="7"/>
        <v>0</v>
      </c>
      <c r="AD7" s="3">
        <f t="shared" si="8"/>
        <v>0</v>
      </c>
      <c r="AE7" s="3">
        <f t="shared" si="9"/>
        <v>0</v>
      </c>
      <c r="AF7" s="3">
        <f t="shared" si="10"/>
        <v>0</v>
      </c>
      <c r="AG7" s="3">
        <f t="shared" si="11"/>
        <v>0</v>
      </c>
      <c r="AH7" s="3">
        <f t="shared" si="12"/>
        <v>0</v>
      </c>
      <c r="AI7" s="3">
        <f>N(Setup!$B$12)+SUM(AC$5:AC7)</f>
        <v>0</v>
      </c>
      <c r="AJ7" s="3">
        <f>N(Setup!$B$18)+SUM(AD$5:AD7)</f>
        <v>0</v>
      </c>
      <c r="AK7" s="3">
        <f>N(Setup!$B$13)+SUM(AE$5:AE7)</f>
        <v>0</v>
      </c>
      <c r="AL7" s="3">
        <f>N(Setup!$B$14)+SUM(AF$5:AF7)</f>
        <v>0</v>
      </c>
      <c r="AM7" s="3">
        <f>N(Setup!$B$19)+SUM(AG$5:AG7)</f>
        <v>0</v>
      </c>
      <c r="AN7" s="3">
        <f>N(Setup!$B$20)+SUM(AH$5:AH7)</f>
        <v>0</v>
      </c>
      <c r="AO7" s="3">
        <f t="shared" si="13"/>
        <v>0</v>
      </c>
      <c r="AP7" s="3">
        <f t="shared" si="14"/>
        <v>0</v>
      </c>
      <c r="AQ7" s="3">
        <f t="shared" si="15"/>
        <v>0</v>
      </c>
      <c r="AR7" s="3">
        <f t="shared" si="16"/>
        <v>0</v>
      </c>
      <c r="AS7" s="3">
        <f t="shared" si="17"/>
        <v>0</v>
      </c>
      <c r="AT7" s="3">
        <f t="shared" si="18"/>
        <v>0</v>
      </c>
      <c r="AU7" s="3">
        <f t="shared" si="19"/>
        <v>0</v>
      </c>
      <c r="AV7" s="3">
        <f t="shared" si="20"/>
        <v>0</v>
      </c>
      <c r="AW7" s="3">
        <f t="shared" si="21"/>
        <v>0</v>
      </c>
      <c r="AX7" s="3">
        <f t="shared" si="22"/>
        <v>0</v>
      </c>
      <c r="AY7" s="3">
        <f t="shared" si="23"/>
        <v>0</v>
      </c>
      <c r="AZ7" t="b">
        <f t="shared" si="24"/>
        <v>0</v>
      </c>
      <c r="BA7" t="b">
        <f>OR(AND(F7="Checking",Setup!$B$8&lt;&gt;"None"),AND(F7="Savings",Setup!$B$8="Combined"))</f>
        <v>0</v>
      </c>
      <c r="BB7" t="b">
        <f>OR(AND(G7="Checking",Setup!$B$8&lt;&gt;"None"),AND(G7="Savings",Setup!$B$8="Combined"))</f>
        <v>0</v>
      </c>
      <c r="BC7" t="b">
        <f t="shared" si="25"/>
        <v>0</v>
      </c>
      <c r="BD7" s="3">
        <f t="shared" si="26"/>
        <v>0</v>
      </c>
    </row>
    <row r="8" spans="1:56" ht="63.95" customHeight="1" x14ac:dyDescent="0.25">
      <c r="A8" s="4"/>
      <c r="B8" s="7"/>
      <c r="C8" s="4"/>
      <c r="D8" s="4"/>
      <c r="E8" s="2"/>
      <c r="F8" s="4"/>
      <c r="G8" s="4"/>
      <c r="H8" s="4"/>
      <c r="I8" s="4"/>
      <c r="J8" s="4"/>
      <c r="K8" s="2"/>
      <c r="L8" s="2"/>
      <c r="M8" s="4"/>
      <c r="N8" s="4"/>
      <c r="O8" s="4"/>
      <c r="P8" s="4"/>
      <c r="Q8" t="str">
        <f>IFERROR(IF(AND(T8=1,SUMPRODUCT(--($B$5:B7&gt;B8),$T$5:T7)&gt;0),"CHECK CASH DATE ORDER",IF(COUNTA(A8:P8)=0,"UNUSED",IF(OR(A8="",NOT(ISNUMBER(B8)),NOT(ISNUMBER(E8)),E8&lt;0,COUNTIF($A$5:$A$64,A8)&lt;&gt;1,AND(C8&lt;&gt;"Confirmed",C8&lt;&gt;"Disputed",C8&lt;&gt;"Expected",C8&lt;&gt;"Historical"),AND(N8&lt;&gt;"Cash + allocation",N8&lt;&gt;"Cash only",N8&lt;&gt;"Allocation only"),LEN(TRIM(P8))=0),"CHECK ID / AMOUNT / STATUS",IF(C8="Expected","EXPECTED — EXCLUDED",IF(C8="Historical",IF(B8&lt;Setup!$B$6,"HISTORICAL — NO CASH","CHECK HISTORICAL DATE"),IF(OR(B8&lt;Setup!$B$6,B8&gt;Setup!$B$7,AND(D8="Expense",OR(AND(F8&lt;&gt;"A",F8&lt;&gt;"B",F8&lt;&gt;"Checking",F8&lt;&gt;"Savings"),G8&lt;&gt;"Merchant")),AND(D8="Refund",OR(F8&lt;&gt;"Merchant",AND(G8&lt;&gt;"A",G8&lt;&gt;"B",G8&lt;&gt;"Checking",G8&lt;&gt;"Savings"))),AND(D8="Contribution",OR(AND(F8&lt;&gt;"A",F8&lt;&gt;"B"),NOT(OR(G8="Checking",G8="Savings")))),AND(D8="ReturnContribution",OR(NOT(OR(F8="Checking",F8="Savings")),AND(G8&lt;&gt;"A",G8&lt;&gt;"B"))),AND(OR(D8="Settlement",D8="PersonalSupport"),OR(AND(M8&lt;&gt;"A",M8&lt;&gt;"B"),IF(M8="A",G8&lt;&gt;"B",G8&lt;&gt;"A"),AND(NOT(OR(F8="Checking",F8="Savings")),F8&lt;&gt;M8))),AND(OR(D8="InternalTransfer",D8="BoundaryTransfer"),OR(NOT(OR(F8="Checking",F8="Savings")),NOT(OR(G8="Checking",G8="Savings")),F8=G8)),AND(D8&lt;&gt;"Expense",D8&lt;&gt;"Refund",D8&lt;&gt;"Contribution",D8&lt;&gt;"ReturnContribution",D8&lt;&gt;"Settlement",D8&lt;&gt;"PersonalSupport",D8&lt;&gt;"InternalTransfer",D8&lt;&gt;"BoundaryTransfer"),AND(Setup!$B$8="None",OR(OR(F8="Checking",F8="Savings"),OR(G8="Checking",G8="Savings"))),AND(Setup!$B$8="Checking",Setup!$B$23&lt;&gt;"Active",OR(F8="Savings",G8="Savings")),AND(T8=1,MIN(AI8:AJ8)&lt; -0.005),AND(N8="Cash only",D8&lt;&gt;"Expense"),AND(N8="Allocation only",D8&lt;&gt;"Expense")),"CHECK CASH / SCOPE","READY")))))),"CHECK INVALID INPUT")</f>
        <v>UNUSED</v>
      </c>
      <c r="R8" t="str">
        <f>IFERROR(IF(AND(C8="Historical",D8="Expense",OR(IFERROR(INDEX(Agreements!$Z$5:$Z$16,MATCH(H8,Agreements!$A$5:$A$16,0)),"MISSING")&lt;&gt;"READY",B8&lt;IFERROR(INDEX(Agreements!$C$5:$C$16,MATCH(H8,Agreements!$A$5:$A$16,0)),0),B8&gt;IFERROR(INDEX(Agreements!$D$5:$D$16,MATCH(H8,Agreements!$A$5:$A$16,0)),0))),"CHECK HISTORICAL AGREEMENT",IF(AND(C8="Confirmed",D8="Refund",AND(IFERROR(INDEX($C$5:$C$64,MATCH(I8,$A$5:$A$64,0)),"")&lt;&gt;"Confirmed",IFERROR(INDEX($C$5:$C$64,MATCH(I8,$A$5:$A$64,0)),"")&lt;&gt;"Historical")),"CHECK REFUND SOURCE STATUS",IF(COUNTA(A8:P8)=0,"UNUSED",IF(OR(C8="Expected",C8="Historical"),"NOT CURRENT",IF(C8="Disputed","DISPUTED — CLOSE PENDING",IF(N8="Cash only",IF(ABS(BD8-E8)&lt;0.005,"READY","CHECK ALLOCATION TOTAL"),IF(OR(D8="Expense",D8="Refund"),IF(OR(IFERROR(INDEX(Agreements!$Z$5:$Z$16,MATCH(H8,Agreements!$A$5:$A$16,0)),0)&lt;&gt;"READY",AND(D8="Expense",OR(B8&lt;IFERROR(INDEX(Agreements!$C$5:$C$16,MATCH(H8,Agreements!$A$5:$A$16,0)),0),B8&gt;IFERROR(INDEX(Agreements!$D$5:$D$16,MATCH(H8,Agreements!$A$5:$A$16,0)),0))),AND(D8="Refund",OR(IFERROR(INDEX($D$5:$D$64,MATCH(I8,$A$5:$A$64,0)),"")&lt;&gt;"Expense",IFERROR(INDEX($H$5:$H$64,MATCH(I8,$A$5:$A$64,0)),"")&lt;&gt;H8,SUMIFS($E$5:$E$64,$I$5:$I$64,I8,$D$5:$D$64,"Refund",$C$5:$C$64,"&lt;&gt;Expected")&gt;N(IFERROR(INDEX($E$5:$E$64,MATCH(I8,$A$5:$A$64,0)),""))+0.005,I8="")),AND(N8="Allocation only",OR(O8="",IFERROR(INDEX($F$5:$F$64,MATCH(O8,$A$5:$A$64,0)),"")&lt;&gt;F8,IFERROR(INDEX($N$5:$N$64,MATCH(O8,$A$5:$A$64,0)),"")&lt;&gt;"Cash only")),AND(Setup!$B$8="Checking",OR(F8="Savings",G8="Savings"))),"CHECK AGREEMENT / REFUND / SCOPE","READY"),"READY"))))))),"CHECK INVALID INPUT")</f>
        <v>UNUSED</v>
      </c>
      <c r="S8" t="str">
        <f t="shared" si="27"/>
        <v>UNUSED</v>
      </c>
      <c r="T8">
        <f t="shared" si="0"/>
        <v>0</v>
      </c>
      <c r="U8">
        <f t="shared" si="1"/>
        <v>0</v>
      </c>
      <c r="V8">
        <f>IFERROR(MATCH(H8,Agreements!$A$5:$A$16,0),0)</f>
        <v>0</v>
      </c>
      <c r="W8" s="6">
        <f>IF(D8="Refund",IFERROR(INDEX(Agreements!$AA$5:$AA$16,MATCH(IFERROR(INDEX($H$5:$H$64,MATCH(I8,$A$5:$A$64,0)),""),Agreements!$A$5:$A$16,0)),0),IFERROR(INDEX(Agreements!$AA$5:$AA$16,MATCH(H8,Agreements!$A$5:$A$16,0)),0))</f>
        <v>0</v>
      </c>
      <c r="X8" s="3">
        <f t="shared" si="2"/>
        <v>0</v>
      </c>
      <c r="Y8" s="3">
        <f t="shared" si="3"/>
        <v>0</v>
      </c>
      <c r="Z8" s="3">
        <f t="shared" si="4"/>
        <v>0</v>
      </c>
      <c r="AA8" s="3">
        <f t="shared" si="5"/>
        <v>0</v>
      </c>
      <c r="AB8" s="3">
        <f t="shared" si="6"/>
        <v>0</v>
      </c>
      <c r="AC8" s="3">
        <f t="shared" si="7"/>
        <v>0</v>
      </c>
      <c r="AD8" s="3">
        <f t="shared" si="8"/>
        <v>0</v>
      </c>
      <c r="AE8" s="3">
        <f t="shared" si="9"/>
        <v>0</v>
      </c>
      <c r="AF8" s="3">
        <f t="shared" si="10"/>
        <v>0</v>
      </c>
      <c r="AG8" s="3">
        <f t="shared" si="11"/>
        <v>0</v>
      </c>
      <c r="AH8" s="3">
        <f t="shared" si="12"/>
        <v>0</v>
      </c>
      <c r="AI8" s="3">
        <f>N(Setup!$B$12)+SUM(AC$5:AC8)</f>
        <v>0</v>
      </c>
      <c r="AJ8" s="3">
        <f>N(Setup!$B$18)+SUM(AD$5:AD8)</f>
        <v>0</v>
      </c>
      <c r="AK8" s="3">
        <f>N(Setup!$B$13)+SUM(AE$5:AE8)</f>
        <v>0</v>
      </c>
      <c r="AL8" s="3">
        <f>N(Setup!$B$14)+SUM(AF$5:AF8)</f>
        <v>0</v>
      </c>
      <c r="AM8" s="3">
        <f>N(Setup!$B$19)+SUM(AG$5:AG8)</f>
        <v>0</v>
      </c>
      <c r="AN8" s="3">
        <f>N(Setup!$B$20)+SUM(AH$5:AH8)</f>
        <v>0</v>
      </c>
      <c r="AO8" s="3">
        <f t="shared" si="13"/>
        <v>0</v>
      </c>
      <c r="AP8" s="3">
        <f t="shared" si="14"/>
        <v>0</v>
      </c>
      <c r="AQ8" s="3">
        <f t="shared" si="15"/>
        <v>0</v>
      </c>
      <c r="AR8" s="3">
        <f t="shared" si="16"/>
        <v>0</v>
      </c>
      <c r="AS8" s="3">
        <f t="shared" si="17"/>
        <v>0</v>
      </c>
      <c r="AT8" s="3">
        <f t="shared" si="18"/>
        <v>0</v>
      </c>
      <c r="AU8" s="3">
        <f t="shared" si="19"/>
        <v>0</v>
      </c>
      <c r="AV8" s="3">
        <f t="shared" si="20"/>
        <v>0</v>
      </c>
      <c r="AW8" s="3">
        <f t="shared" si="21"/>
        <v>0</v>
      </c>
      <c r="AX8" s="3">
        <f t="shared" si="22"/>
        <v>0</v>
      </c>
      <c r="AY8" s="3">
        <f t="shared" si="23"/>
        <v>0</v>
      </c>
      <c r="AZ8" t="b">
        <f t="shared" si="24"/>
        <v>0</v>
      </c>
      <c r="BA8" t="b">
        <f>OR(AND(F8="Checking",Setup!$B$8&lt;&gt;"None"),AND(F8="Savings",Setup!$B$8="Combined"))</f>
        <v>0</v>
      </c>
      <c r="BB8" t="b">
        <f>OR(AND(G8="Checking",Setup!$B$8&lt;&gt;"None"),AND(G8="Savings",Setup!$B$8="Combined"))</f>
        <v>0</v>
      </c>
      <c r="BC8" t="b">
        <f t="shared" si="25"/>
        <v>0</v>
      </c>
      <c r="BD8" s="3">
        <f t="shared" si="26"/>
        <v>0</v>
      </c>
    </row>
    <row r="9" spans="1:56" ht="63.95" customHeight="1" x14ac:dyDescent="0.25">
      <c r="A9" s="4"/>
      <c r="B9" s="7"/>
      <c r="C9" s="4"/>
      <c r="D9" s="4"/>
      <c r="E9" s="2"/>
      <c r="F9" s="4"/>
      <c r="G9" s="4"/>
      <c r="H9" s="4"/>
      <c r="I9" s="4"/>
      <c r="J9" s="4"/>
      <c r="K9" s="2"/>
      <c r="L9" s="2"/>
      <c r="M9" s="4"/>
      <c r="N9" s="4"/>
      <c r="O9" s="4"/>
      <c r="P9" s="4"/>
      <c r="Q9" t="str">
        <f>IFERROR(IF(AND(T9=1,SUMPRODUCT(--($B$5:B8&gt;B9),$T$5:T8)&gt;0),"CHECK CASH DATE ORDER",IF(COUNTA(A9:P9)=0,"UNUSED",IF(OR(A9="",NOT(ISNUMBER(B9)),NOT(ISNUMBER(E9)),E9&lt;0,COUNTIF($A$5:$A$64,A9)&lt;&gt;1,AND(C9&lt;&gt;"Confirmed",C9&lt;&gt;"Disputed",C9&lt;&gt;"Expected",C9&lt;&gt;"Historical"),AND(N9&lt;&gt;"Cash + allocation",N9&lt;&gt;"Cash only",N9&lt;&gt;"Allocation only"),LEN(TRIM(P9))=0),"CHECK ID / AMOUNT / STATUS",IF(C9="Expected","EXPECTED — EXCLUDED",IF(C9="Historical",IF(B9&lt;Setup!$B$6,"HISTORICAL — NO CASH","CHECK HISTORICAL DATE"),IF(OR(B9&lt;Setup!$B$6,B9&gt;Setup!$B$7,AND(D9="Expense",OR(AND(F9&lt;&gt;"A",F9&lt;&gt;"B",F9&lt;&gt;"Checking",F9&lt;&gt;"Savings"),G9&lt;&gt;"Merchant")),AND(D9="Refund",OR(F9&lt;&gt;"Merchant",AND(G9&lt;&gt;"A",G9&lt;&gt;"B",G9&lt;&gt;"Checking",G9&lt;&gt;"Savings"))),AND(D9="Contribution",OR(AND(F9&lt;&gt;"A",F9&lt;&gt;"B"),NOT(OR(G9="Checking",G9="Savings")))),AND(D9="ReturnContribution",OR(NOT(OR(F9="Checking",F9="Savings")),AND(G9&lt;&gt;"A",G9&lt;&gt;"B"))),AND(OR(D9="Settlement",D9="PersonalSupport"),OR(AND(M9&lt;&gt;"A",M9&lt;&gt;"B"),IF(M9="A",G9&lt;&gt;"B",G9&lt;&gt;"A"),AND(NOT(OR(F9="Checking",F9="Savings")),F9&lt;&gt;M9))),AND(OR(D9="InternalTransfer",D9="BoundaryTransfer"),OR(NOT(OR(F9="Checking",F9="Savings")),NOT(OR(G9="Checking",G9="Savings")),F9=G9)),AND(D9&lt;&gt;"Expense",D9&lt;&gt;"Refund",D9&lt;&gt;"Contribution",D9&lt;&gt;"ReturnContribution",D9&lt;&gt;"Settlement",D9&lt;&gt;"PersonalSupport",D9&lt;&gt;"InternalTransfer",D9&lt;&gt;"BoundaryTransfer"),AND(Setup!$B$8="None",OR(OR(F9="Checking",F9="Savings"),OR(G9="Checking",G9="Savings"))),AND(Setup!$B$8="Checking",Setup!$B$23&lt;&gt;"Active",OR(F9="Savings",G9="Savings")),AND(T9=1,MIN(AI9:AJ9)&lt; -0.005),AND(N9="Cash only",D9&lt;&gt;"Expense"),AND(N9="Allocation only",D9&lt;&gt;"Expense")),"CHECK CASH / SCOPE","READY")))))),"CHECK INVALID INPUT")</f>
        <v>UNUSED</v>
      </c>
      <c r="R9" t="str">
        <f>IFERROR(IF(AND(C9="Historical",D9="Expense",OR(IFERROR(INDEX(Agreements!$Z$5:$Z$16,MATCH(H9,Agreements!$A$5:$A$16,0)),"MISSING")&lt;&gt;"READY",B9&lt;IFERROR(INDEX(Agreements!$C$5:$C$16,MATCH(H9,Agreements!$A$5:$A$16,0)),0),B9&gt;IFERROR(INDEX(Agreements!$D$5:$D$16,MATCH(H9,Agreements!$A$5:$A$16,0)),0))),"CHECK HISTORICAL AGREEMENT",IF(AND(C9="Confirmed",D9="Refund",AND(IFERROR(INDEX($C$5:$C$64,MATCH(I9,$A$5:$A$64,0)),"")&lt;&gt;"Confirmed",IFERROR(INDEX($C$5:$C$64,MATCH(I9,$A$5:$A$64,0)),"")&lt;&gt;"Historical")),"CHECK REFUND SOURCE STATUS",IF(COUNTA(A9:P9)=0,"UNUSED",IF(OR(C9="Expected",C9="Historical"),"NOT CURRENT",IF(C9="Disputed","DISPUTED — CLOSE PENDING",IF(N9="Cash only",IF(ABS(BD9-E9)&lt;0.005,"READY","CHECK ALLOCATION TOTAL"),IF(OR(D9="Expense",D9="Refund"),IF(OR(IFERROR(INDEX(Agreements!$Z$5:$Z$16,MATCH(H9,Agreements!$A$5:$A$16,0)),0)&lt;&gt;"READY",AND(D9="Expense",OR(B9&lt;IFERROR(INDEX(Agreements!$C$5:$C$16,MATCH(H9,Agreements!$A$5:$A$16,0)),0),B9&gt;IFERROR(INDEX(Agreements!$D$5:$D$16,MATCH(H9,Agreements!$A$5:$A$16,0)),0))),AND(D9="Refund",OR(IFERROR(INDEX($D$5:$D$64,MATCH(I9,$A$5:$A$64,0)),"")&lt;&gt;"Expense",IFERROR(INDEX($H$5:$H$64,MATCH(I9,$A$5:$A$64,0)),"")&lt;&gt;H9,SUMIFS($E$5:$E$64,$I$5:$I$64,I9,$D$5:$D$64,"Refund",$C$5:$C$64,"&lt;&gt;Expected")&gt;N(IFERROR(INDEX($E$5:$E$64,MATCH(I9,$A$5:$A$64,0)),""))+0.005,I9="")),AND(N9="Allocation only",OR(O9="",IFERROR(INDEX($F$5:$F$64,MATCH(O9,$A$5:$A$64,0)),"")&lt;&gt;F9,IFERROR(INDEX($N$5:$N$64,MATCH(O9,$A$5:$A$64,0)),"")&lt;&gt;"Cash only")),AND(Setup!$B$8="Checking",OR(F9="Savings",G9="Savings"))),"CHECK AGREEMENT / REFUND / SCOPE","READY"),"READY"))))))),"CHECK INVALID INPUT")</f>
        <v>UNUSED</v>
      </c>
      <c r="S9" t="str">
        <f t="shared" si="27"/>
        <v>UNUSED</v>
      </c>
      <c r="T9">
        <f t="shared" si="0"/>
        <v>0</v>
      </c>
      <c r="U9">
        <f t="shared" si="1"/>
        <v>0</v>
      </c>
      <c r="V9">
        <f>IFERROR(MATCH(H9,Agreements!$A$5:$A$16,0),0)</f>
        <v>0</v>
      </c>
      <c r="W9" s="6">
        <f>IF(D9="Refund",IFERROR(INDEX(Agreements!$AA$5:$AA$16,MATCH(IFERROR(INDEX($H$5:$H$64,MATCH(I9,$A$5:$A$64,0)),""),Agreements!$A$5:$A$16,0)),0),IFERROR(INDEX(Agreements!$AA$5:$AA$16,MATCH(H9,Agreements!$A$5:$A$16,0)),0))</f>
        <v>0</v>
      </c>
      <c r="X9" s="3">
        <f t="shared" si="2"/>
        <v>0</v>
      </c>
      <c r="Y9" s="3">
        <f t="shared" si="3"/>
        <v>0</v>
      </c>
      <c r="Z9" s="3">
        <f t="shared" si="4"/>
        <v>0</v>
      </c>
      <c r="AA9" s="3">
        <f t="shared" si="5"/>
        <v>0</v>
      </c>
      <c r="AB9" s="3">
        <f t="shared" si="6"/>
        <v>0</v>
      </c>
      <c r="AC9" s="3">
        <f t="shared" si="7"/>
        <v>0</v>
      </c>
      <c r="AD9" s="3">
        <f t="shared" si="8"/>
        <v>0</v>
      </c>
      <c r="AE9" s="3">
        <f t="shared" si="9"/>
        <v>0</v>
      </c>
      <c r="AF9" s="3">
        <f t="shared" si="10"/>
        <v>0</v>
      </c>
      <c r="AG9" s="3">
        <f t="shared" si="11"/>
        <v>0</v>
      </c>
      <c r="AH9" s="3">
        <f t="shared" si="12"/>
        <v>0</v>
      </c>
      <c r="AI9" s="3">
        <f>N(Setup!$B$12)+SUM(AC$5:AC9)</f>
        <v>0</v>
      </c>
      <c r="AJ9" s="3">
        <f>N(Setup!$B$18)+SUM(AD$5:AD9)</f>
        <v>0</v>
      </c>
      <c r="AK9" s="3">
        <f>N(Setup!$B$13)+SUM(AE$5:AE9)</f>
        <v>0</v>
      </c>
      <c r="AL9" s="3">
        <f>N(Setup!$B$14)+SUM(AF$5:AF9)</f>
        <v>0</v>
      </c>
      <c r="AM9" s="3">
        <f>N(Setup!$B$19)+SUM(AG$5:AG9)</f>
        <v>0</v>
      </c>
      <c r="AN9" s="3">
        <f>N(Setup!$B$20)+SUM(AH$5:AH9)</f>
        <v>0</v>
      </c>
      <c r="AO9" s="3">
        <f t="shared" si="13"/>
        <v>0</v>
      </c>
      <c r="AP9" s="3">
        <f t="shared" si="14"/>
        <v>0</v>
      </c>
      <c r="AQ9" s="3">
        <f t="shared" si="15"/>
        <v>0</v>
      </c>
      <c r="AR9" s="3">
        <f t="shared" si="16"/>
        <v>0</v>
      </c>
      <c r="AS9" s="3">
        <f t="shared" si="17"/>
        <v>0</v>
      </c>
      <c r="AT9" s="3">
        <f t="shared" si="18"/>
        <v>0</v>
      </c>
      <c r="AU9" s="3">
        <f t="shared" si="19"/>
        <v>0</v>
      </c>
      <c r="AV9" s="3">
        <f t="shared" si="20"/>
        <v>0</v>
      </c>
      <c r="AW9" s="3">
        <f t="shared" si="21"/>
        <v>0</v>
      </c>
      <c r="AX9" s="3">
        <f t="shared" si="22"/>
        <v>0</v>
      </c>
      <c r="AY9" s="3">
        <f t="shared" si="23"/>
        <v>0</v>
      </c>
      <c r="AZ9" t="b">
        <f t="shared" si="24"/>
        <v>0</v>
      </c>
      <c r="BA9" t="b">
        <f>OR(AND(F9="Checking",Setup!$B$8&lt;&gt;"None"),AND(F9="Savings",Setup!$B$8="Combined"))</f>
        <v>0</v>
      </c>
      <c r="BB9" t="b">
        <f>OR(AND(G9="Checking",Setup!$B$8&lt;&gt;"None"),AND(G9="Savings",Setup!$B$8="Combined"))</f>
        <v>0</v>
      </c>
      <c r="BC9" t="b">
        <f t="shared" si="25"/>
        <v>0</v>
      </c>
      <c r="BD9" s="3">
        <f t="shared" si="26"/>
        <v>0</v>
      </c>
    </row>
    <row r="10" spans="1:56" ht="63.95" customHeight="1" x14ac:dyDescent="0.25">
      <c r="A10" s="4"/>
      <c r="B10" s="7"/>
      <c r="C10" s="4"/>
      <c r="D10" s="4"/>
      <c r="E10" s="2"/>
      <c r="F10" s="4"/>
      <c r="G10" s="4"/>
      <c r="H10" s="4"/>
      <c r="I10" s="4"/>
      <c r="J10" s="4"/>
      <c r="K10" s="2"/>
      <c r="L10" s="2"/>
      <c r="M10" s="4"/>
      <c r="N10" s="4"/>
      <c r="O10" s="4"/>
      <c r="P10" s="4"/>
      <c r="Q10" t="str">
        <f>IFERROR(IF(AND(T10=1,SUMPRODUCT(--($B$5:B9&gt;B10),$T$5:T9)&gt;0),"CHECK CASH DATE ORDER",IF(COUNTA(A10:P10)=0,"UNUSED",IF(OR(A10="",NOT(ISNUMBER(B10)),NOT(ISNUMBER(E10)),E10&lt;0,COUNTIF($A$5:$A$64,A10)&lt;&gt;1,AND(C10&lt;&gt;"Confirmed",C10&lt;&gt;"Disputed",C10&lt;&gt;"Expected",C10&lt;&gt;"Historical"),AND(N10&lt;&gt;"Cash + allocation",N10&lt;&gt;"Cash only",N10&lt;&gt;"Allocation only"),LEN(TRIM(P10))=0),"CHECK ID / AMOUNT / STATUS",IF(C10="Expected","EXPECTED — EXCLUDED",IF(C10="Historical",IF(B10&lt;Setup!$B$6,"HISTORICAL — NO CASH","CHECK HISTORICAL DATE"),IF(OR(B10&lt;Setup!$B$6,B10&gt;Setup!$B$7,AND(D10="Expense",OR(AND(F10&lt;&gt;"A",F10&lt;&gt;"B",F10&lt;&gt;"Checking",F10&lt;&gt;"Savings"),G10&lt;&gt;"Merchant")),AND(D10="Refund",OR(F10&lt;&gt;"Merchant",AND(G10&lt;&gt;"A",G10&lt;&gt;"B",G10&lt;&gt;"Checking",G10&lt;&gt;"Savings"))),AND(D10="Contribution",OR(AND(F10&lt;&gt;"A",F10&lt;&gt;"B"),NOT(OR(G10="Checking",G10="Savings")))),AND(D10="ReturnContribution",OR(NOT(OR(F10="Checking",F10="Savings")),AND(G10&lt;&gt;"A",G10&lt;&gt;"B"))),AND(OR(D10="Settlement",D10="PersonalSupport"),OR(AND(M10&lt;&gt;"A",M10&lt;&gt;"B"),IF(M10="A",G10&lt;&gt;"B",G10&lt;&gt;"A"),AND(NOT(OR(F10="Checking",F10="Savings")),F10&lt;&gt;M10))),AND(OR(D10="InternalTransfer",D10="BoundaryTransfer"),OR(NOT(OR(F10="Checking",F10="Savings")),NOT(OR(G10="Checking",G10="Savings")),F10=G10)),AND(D10&lt;&gt;"Expense",D10&lt;&gt;"Refund",D10&lt;&gt;"Contribution",D10&lt;&gt;"ReturnContribution",D10&lt;&gt;"Settlement",D10&lt;&gt;"PersonalSupport",D10&lt;&gt;"InternalTransfer",D10&lt;&gt;"BoundaryTransfer"),AND(Setup!$B$8="None",OR(OR(F10="Checking",F10="Savings"),OR(G10="Checking",G10="Savings"))),AND(Setup!$B$8="Checking",Setup!$B$23&lt;&gt;"Active",OR(F10="Savings",G10="Savings")),AND(T10=1,MIN(AI10:AJ10)&lt; -0.005),AND(N10="Cash only",D10&lt;&gt;"Expense"),AND(N10="Allocation only",D10&lt;&gt;"Expense")),"CHECK CASH / SCOPE","READY")))))),"CHECK INVALID INPUT")</f>
        <v>UNUSED</v>
      </c>
      <c r="R10" t="str">
        <f>IFERROR(IF(AND(C10="Historical",D10="Expense",OR(IFERROR(INDEX(Agreements!$Z$5:$Z$16,MATCH(H10,Agreements!$A$5:$A$16,0)),"MISSING")&lt;&gt;"READY",B10&lt;IFERROR(INDEX(Agreements!$C$5:$C$16,MATCH(H10,Agreements!$A$5:$A$16,0)),0),B10&gt;IFERROR(INDEX(Agreements!$D$5:$D$16,MATCH(H10,Agreements!$A$5:$A$16,0)),0))),"CHECK HISTORICAL AGREEMENT",IF(AND(C10="Confirmed",D10="Refund",AND(IFERROR(INDEX($C$5:$C$64,MATCH(I10,$A$5:$A$64,0)),"")&lt;&gt;"Confirmed",IFERROR(INDEX($C$5:$C$64,MATCH(I10,$A$5:$A$64,0)),"")&lt;&gt;"Historical")),"CHECK REFUND SOURCE STATUS",IF(COUNTA(A10:P10)=0,"UNUSED",IF(OR(C10="Expected",C10="Historical"),"NOT CURRENT",IF(C10="Disputed","DISPUTED — CLOSE PENDING",IF(N10="Cash only",IF(ABS(BD10-E10)&lt;0.005,"READY","CHECK ALLOCATION TOTAL"),IF(OR(D10="Expense",D10="Refund"),IF(OR(IFERROR(INDEX(Agreements!$Z$5:$Z$16,MATCH(H10,Agreements!$A$5:$A$16,0)),0)&lt;&gt;"READY",AND(D10="Expense",OR(B10&lt;IFERROR(INDEX(Agreements!$C$5:$C$16,MATCH(H10,Agreements!$A$5:$A$16,0)),0),B10&gt;IFERROR(INDEX(Agreements!$D$5:$D$16,MATCH(H10,Agreements!$A$5:$A$16,0)),0))),AND(D10="Refund",OR(IFERROR(INDEX($D$5:$D$64,MATCH(I10,$A$5:$A$64,0)),"")&lt;&gt;"Expense",IFERROR(INDEX($H$5:$H$64,MATCH(I10,$A$5:$A$64,0)),"")&lt;&gt;H10,SUMIFS($E$5:$E$64,$I$5:$I$64,I10,$D$5:$D$64,"Refund",$C$5:$C$64,"&lt;&gt;Expected")&gt;N(IFERROR(INDEX($E$5:$E$64,MATCH(I10,$A$5:$A$64,0)),""))+0.005,I10="")),AND(N10="Allocation only",OR(O10="",IFERROR(INDEX($F$5:$F$64,MATCH(O10,$A$5:$A$64,0)),"")&lt;&gt;F10,IFERROR(INDEX($N$5:$N$64,MATCH(O10,$A$5:$A$64,0)),"")&lt;&gt;"Cash only")),AND(Setup!$B$8="Checking",OR(F10="Savings",G10="Savings"))),"CHECK AGREEMENT / REFUND / SCOPE","READY"),"READY"))))))),"CHECK INVALID INPUT")</f>
        <v>UNUSED</v>
      </c>
      <c r="S10" t="str">
        <f t="shared" si="27"/>
        <v>UNUSED</v>
      </c>
      <c r="T10">
        <f t="shared" si="0"/>
        <v>0</v>
      </c>
      <c r="U10">
        <f t="shared" si="1"/>
        <v>0</v>
      </c>
      <c r="V10">
        <f>IFERROR(MATCH(H10,Agreements!$A$5:$A$16,0),0)</f>
        <v>0</v>
      </c>
      <c r="W10" s="6">
        <f>IF(D10="Refund",IFERROR(INDEX(Agreements!$AA$5:$AA$16,MATCH(IFERROR(INDEX($H$5:$H$64,MATCH(I10,$A$5:$A$64,0)),""),Agreements!$A$5:$A$16,0)),0),IFERROR(INDEX(Agreements!$AA$5:$AA$16,MATCH(H10,Agreements!$A$5:$A$16,0)),0))</f>
        <v>0</v>
      </c>
      <c r="X10" s="3">
        <f t="shared" si="2"/>
        <v>0</v>
      </c>
      <c r="Y10" s="3">
        <f t="shared" si="3"/>
        <v>0</v>
      </c>
      <c r="Z10" s="3">
        <f t="shared" si="4"/>
        <v>0</v>
      </c>
      <c r="AA10" s="3">
        <f t="shared" si="5"/>
        <v>0</v>
      </c>
      <c r="AB10" s="3">
        <f t="shared" si="6"/>
        <v>0</v>
      </c>
      <c r="AC10" s="3">
        <f t="shared" si="7"/>
        <v>0</v>
      </c>
      <c r="AD10" s="3">
        <f t="shared" si="8"/>
        <v>0</v>
      </c>
      <c r="AE10" s="3">
        <f t="shared" si="9"/>
        <v>0</v>
      </c>
      <c r="AF10" s="3">
        <f t="shared" si="10"/>
        <v>0</v>
      </c>
      <c r="AG10" s="3">
        <f t="shared" si="11"/>
        <v>0</v>
      </c>
      <c r="AH10" s="3">
        <f t="shared" si="12"/>
        <v>0</v>
      </c>
      <c r="AI10" s="3">
        <f>N(Setup!$B$12)+SUM(AC$5:AC10)</f>
        <v>0</v>
      </c>
      <c r="AJ10" s="3">
        <f>N(Setup!$B$18)+SUM(AD$5:AD10)</f>
        <v>0</v>
      </c>
      <c r="AK10" s="3">
        <f>N(Setup!$B$13)+SUM(AE$5:AE10)</f>
        <v>0</v>
      </c>
      <c r="AL10" s="3">
        <f>N(Setup!$B$14)+SUM(AF$5:AF10)</f>
        <v>0</v>
      </c>
      <c r="AM10" s="3">
        <f>N(Setup!$B$19)+SUM(AG$5:AG10)</f>
        <v>0</v>
      </c>
      <c r="AN10" s="3">
        <f>N(Setup!$B$20)+SUM(AH$5:AH10)</f>
        <v>0</v>
      </c>
      <c r="AO10" s="3">
        <f t="shared" si="13"/>
        <v>0</v>
      </c>
      <c r="AP10" s="3">
        <f t="shared" si="14"/>
        <v>0</v>
      </c>
      <c r="AQ10" s="3">
        <f t="shared" si="15"/>
        <v>0</v>
      </c>
      <c r="AR10" s="3">
        <f t="shared" si="16"/>
        <v>0</v>
      </c>
      <c r="AS10" s="3">
        <f t="shared" si="17"/>
        <v>0</v>
      </c>
      <c r="AT10" s="3">
        <f t="shared" si="18"/>
        <v>0</v>
      </c>
      <c r="AU10" s="3">
        <f t="shared" si="19"/>
        <v>0</v>
      </c>
      <c r="AV10" s="3">
        <f t="shared" si="20"/>
        <v>0</v>
      </c>
      <c r="AW10" s="3">
        <f t="shared" si="21"/>
        <v>0</v>
      </c>
      <c r="AX10" s="3">
        <f t="shared" si="22"/>
        <v>0</v>
      </c>
      <c r="AY10" s="3">
        <f t="shared" si="23"/>
        <v>0</v>
      </c>
      <c r="AZ10" t="b">
        <f t="shared" si="24"/>
        <v>0</v>
      </c>
      <c r="BA10" t="b">
        <f>OR(AND(F10="Checking",Setup!$B$8&lt;&gt;"None"),AND(F10="Savings",Setup!$B$8="Combined"))</f>
        <v>0</v>
      </c>
      <c r="BB10" t="b">
        <f>OR(AND(G10="Checking",Setup!$B$8&lt;&gt;"None"),AND(G10="Savings",Setup!$B$8="Combined"))</f>
        <v>0</v>
      </c>
      <c r="BC10" t="b">
        <f t="shared" si="25"/>
        <v>0</v>
      </c>
      <c r="BD10" s="3">
        <f t="shared" si="26"/>
        <v>0</v>
      </c>
    </row>
    <row r="11" spans="1:56" ht="63.95" customHeight="1" x14ac:dyDescent="0.25">
      <c r="A11" s="4"/>
      <c r="B11" s="7"/>
      <c r="C11" s="4"/>
      <c r="D11" s="4"/>
      <c r="E11" s="2"/>
      <c r="F11" s="4"/>
      <c r="G11" s="4"/>
      <c r="H11" s="4"/>
      <c r="I11" s="4"/>
      <c r="J11" s="4"/>
      <c r="K11" s="2"/>
      <c r="L11" s="2"/>
      <c r="M11" s="4"/>
      <c r="N11" s="4"/>
      <c r="O11" s="4"/>
      <c r="P11" s="4"/>
      <c r="Q11" t="str">
        <f>IFERROR(IF(AND(T11=1,SUMPRODUCT(--($B$5:B10&gt;B11),$T$5:T10)&gt;0),"CHECK CASH DATE ORDER",IF(COUNTA(A11:P11)=0,"UNUSED",IF(OR(A11="",NOT(ISNUMBER(B11)),NOT(ISNUMBER(E11)),E11&lt;0,COUNTIF($A$5:$A$64,A11)&lt;&gt;1,AND(C11&lt;&gt;"Confirmed",C11&lt;&gt;"Disputed",C11&lt;&gt;"Expected",C11&lt;&gt;"Historical"),AND(N11&lt;&gt;"Cash + allocation",N11&lt;&gt;"Cash only",N11&lt;&gt;"Allocation only"),LEN(TRIM(P11))=0),"CHECK ID / AMOUNT / STATUS",IF(C11="Expected","EXPECTED — EXCLUDED",IF(C11="Historical",IF(B11&lt;Setup!$B$6,"HISTORICAL — NO CASH","CHECK HISTORICAL DATE"),IF(OR(B11&lt;Setup!$B$6,B11&gt;Setup!$B$7,AND(D11="Expense",OR(AND(F11&lt;&gt;"A",F11&lt;&gt;"B",F11&lt;&gt;"Checking",F11&lt;&gt;"Savings"),G11&lt;&gt;"Merchant")),AND(D11="Refund",OR(F11&lt;&gt;"Merchant",AND(G11&lt;&gt;"A",G11&lt;&gt;"B",G11&lt;&gt;"Checking",G11&lt;&gt;"Savings"))),AND(D11="Contribution",OR(AND(F11&lt;&gt;"A",F11&lt;&gt;"B"),NOT(OR(G11="Checking",G11="Savings")))),AND(D11="ReturnContribution",OR(NOT(OR(F11="Checking",F11="Savings")),AND(G11&lt;&gt;"A",G11&lt;&gt;"B"))),AND(OR(D11="Settlement",D11="PersonalSupport"),OR(AND(M11&lt;&gt;"A",M11&lt;&gt;"B"),IF(M11="A",G11&lt;&gt;"B",G11&lt;&gt;"A"),AND(NOT(OR(F11="Checking",F11="Savings")),F11&lt;&gt;M11))),AND(OR(D11="InternalTransfer",D11="BoundaryTransfer"),OR(NOT(OR(F11="Checking",F11="Savings")),NOT(OR(G11="Checking",G11="Savings")),F11=G11)),AND(D11&lt;&gt;"Expense",D11&lt;&gt;"Refund",D11&lt;&gt;"Contribution",D11&lt;&gt;"ReturnContribution",D11&lt;&gt;"Settlement",D11&lt;&gt;"PersonalSupport",D11&lt;&gt;"InternalTransfer",D11&lt;&gt;"BoundaryTransfer"),AND(Setup!$B$8="None",OR(OR(F11="Checking",F11="Savings"),OR(G11="Checking",G11="Savings"))),AND(Setup!$B$8="Checking",Setup!$B$23&lt;&gt;"Active",OR(F11="Savings",G11="Savings")),AND(T11=1,MIN(AI11:AJ11)&lt; -0.005),AND(N11="Cash only",D11&lt;&gt;"Expense"),AND(N11="Allocation only",D11&lt;&gt;"Expense")),"CHECK CASH / SCOPE","READY")))))),"CHECK INVALID INPUT")</f>
        <v>UNUSED</v>
      </c>
      <c r="R11" t="str">
        <f>IFERROR(IF(AND(C11="Historical",D11="Expense",OR(IFERROR(INDEX(Agreements!$Z$5:$Z$16,MATCH(H11,Agreements!$A$5:$A$16,0)),"MISSING")&lt;&gt;"READY",B11&lt;IFERROR(INDEX(Agreements!$C$5:$C$16,MATCH(H11,Agreements!$A$5:$A$16,0)),0),B11&gt;IFERROR(INDEX(Agreements!$D$5:$D$16,MATCH(H11,Agreements!$A$5:$A$16,0)),0))),"CHECK HISTORICAL AGREEMENT",IF(AND(C11="Confirmed",D11="Refund",AND(IFERROR(INDEX($C$5:$C$64,MATCH(I11,$A$5:$A$64,0)),"")&lt;&gt;"Confirmed",IFERROR(INDEX($C$5:$C$64,MATCH(I11,$A$5:$A$64,0)),"")&lt;&gt;"Historical")),"CHECK REFUND SOURCE STATUS",IF(COUNTA(A11:P11)=0,"UNUSED",IF(OR(C11="Expected",C11="Historical"),"NOT CURRENT",IF(C11="Disputed","DISPUTED — CLOSE PENDING",IF(N11="Cash only",IF(ABS(BD11-E11)&lt;0.005,"READY","CHECK ALLOCATION TOTAL"),IF(OR(D11="Expense",D11="Refund"),IF(OR(IFERROR(INDEX(Agreements!$Z$5:$Z$16,MATCH(H11,Agreements!$A$5:$A$16,0)),0)&lt;&gt;"READY",AND(D11="Expense",OR(B11&lt;IFERROR(INDEX(Agreements!$C$5:$C$16,MATCH(H11,Agreements!$A$5:$A$16,0)),0),B11&gt;IFERROR(INDEX(Agreements!$D$5:$D$16,MATCH(H11,Agreements!$A$5:$A$16,0)),0))),AND(D11="Refund",OR(IFERROR(INDEX($D$5:$D$64,MATCH(I11,$A$5:$A$64,0)),"")&lt;&gt;"Expense",IFERROR(INDEX($H$5:$H$64,MATCH(I11,$A$5:$A$64,0)),"")&lt;&gt;H11,SUMIFS($E$5:$E$64,$I$5:$I$64,I11,$D$5:$D$64,"Refund",$C$5:$C$64,"&lt;&gt;Expected")&gt;N(IFERROR(INDEX($E$5:$E$64,MATCH(I11,$A$5:$A$64,0)),""))+0.005,I11="")),AND(N11="Allocation only",OR(O11="",IFERROR(INDEX($F$5:$F$64,MATCH(O11,$A$5:$A$64,0)),"")&lt;&gt;F11,IFERROR(INDEX($N$5:$N$64,MATCH(O11,$A$5:$A$64,0)),"")&lt;&gt;"Cash only")),AND(Setup!$B$8="Checking",OR(F11="Savings",G11="Savings"))),"CHECK AGREEMENT / REFUND / SCOPE","READY"),"READY"))))))),"CHECK INVALID INPUT")</f>
        <v>UNUSED</v>
      </c>
      <c r="S11" t="str">
        <f t="shared" si="27"/>
        <v>UNUSED</v>
      </c>
      <c r="T11">
        <f t="shared" si="0"/>
        <v>0</v>
      </c>
      <c r="U11">
        <f t="shared" si="1"/>
        <v>0</v>
      </c>
      <c r="V11">
        <f>IFERROR(MATCH(H11,Agreements!$A$5:$A$16,0),0)</f>
        <v>0</v>
      </c>
      <c r="W11" s="6">
        <f>IF(D11="Refund",IFERROR(INDEX(Agreements!$AA$5:$AA$16,MATCH(IFERROR(INDEX($H$5:$H$64,MATCH(I11,$A$5:$A$64,0)),""),Agreements!$A$5:$A$16,0)),0),IFERROR(INDEX(Agreements!$AA$5:$AA$16,MATCH(H11,Agreements!$A$5:$A$16,0)),0))</f>
        <v>0</v>
      </c>
      <c r="X11" s="3">
        <f t="shared" si="2"/>
        <v>0</v>
      </c>
      <c r="Y11" s="3">
        <f t="shared" si="3"/>
        <v>0</v>
      </c>
      <c r="Z11" s="3">
        <f t="shared" si="4"/>
        <v>0</v>
      </c>
      <c r="AA11" s="3">
        <f t="shared" si="5"/>
        <v>0</v>
      </c>
      <c r="AB11" s="3">
        <f t="shared" si="6"/>
        <v>0</v>
      </c>
      <c r="AC11" s="3">
        <f t="shared" si="7"/>
        <v>0</v>
      </c>
      <c r="AD11" s="3">
        <f t="shared" si="8"/>
        <v>0</v>
      </c>
      <c r="AE11" s="3">
        <f t="shared" si="9"/>
        <v>0</v>
      </c>
      <c r="AF11" s="3">
        <f t="shared" si="10"/>
        <v>0</v>
      </c>
      <c r="AG11" s="3">
        <f t="shared" si="11"/>
        <v>0</v>
      </c>
      <c r="AH11" s="3">
        <f t="shared" si="12"/>
        <v>0</v>
      </c>
      <c r="AI11" s="3">
        <f>N(Setup!$B$12)+SUM(AC$5:AC11)</f>
        <v>0</v>
      </c>
      <c r="AJ11" s="3">
        <f>N(Setup!$B$18)+SUM(AD$5:AD11)</f>
        <v>0</v>
      </c>
      <c r="AK11" s="3">
        <f>N(Setup!$B$13)+SUM(AE$5:AE11)</f>
        <v>0</v>
      </c>
      <c r="AL11" s="3">
        <f>N(Setup!$B$14)+SUM(AF$5:AF11)</f>
        <v>0</v>
      </c>
      <c r="AM11" s="3">
        <f>N(Setup!$B$19)+SUM(AG$5:AG11)</f>
        <v>0</v>
      </c>
      <c r="AN11" s="3">
        <f>N(Setup!$B$20)+SUM(AH$5:AH11)</f>
        <v>0</v>
      </c>
      <c r="AO11" s="3">
        <f t="shared" si="13"/>
        <v>0</v>
      </c>
      <c r="AP11" s="3">
        <f t="shared" si="14"/>
        <v>0</v>
      </c>
      <c r="AQ11" s="3">
        <f t="shared" si="15"/>
        <v>0</v>
      </c>
      <c r="AR11" s="3">
        <f t="shared" si="16"/>
        <v>0</v>
      </c>
      <c r="AS11" s="3">
        <f t="shared" si="17"/>
        <v>0</v>
      </c>
      <c r="AT11" s="3">
        <f t="shared" si="18"/>
        <v>0</v>
      </c>
      <c r="AU11" s="3">
        <f t="shared" si="19"/>
        <v>0</v>
      </c>
      <c r="AV11" s="3">
        <f t="shared" si="20"/>
        <v>0</v>
      </c>
      <c r="AW11" s="3">
        <f t="shared" si="21"/>
        <v>0</v>
      </c>
      <c r="AX11" s="3">
        <f t="shared" si="22"/>
        <v>0</v>
      </c>
      <c r="AY11" s="3">
        <f t="shared" si="23"/>
        <v>0</v>
      </c>
      <c r="AZ11" t="b">
        <f t="shared" si="24"/>
        <v>0</v>
      </c>
      <c r="BA11" t="b">
        <f>OR(AND(F11="Checking",Setup!$B$8&lt;&gt;"None"),AND(F11="Savings",Setup!$B$8="Combined"))</f>
        <v>0</v>
      </c>
      <c r="BB11" t="b">
        <f>OR(AND(G11="Checking",Setup!$B$8&lt;&gt;"None"),AND(G11="Savings",Setup!$B$8="Combined"))</f>
        <v>0</v>
      </c>
      <c r="BC11" t="b">
        <f t="shared" si="25"/>
        <v>0</v>
      </c>
      <c r="BD11" s="3">
        <f t="shared" si="26"/>
        <v>0</v>
      </c>
    </row>
    <row r="12" spans="1:56" ht="63.95" customHeight="1" x14ac:dyDescent="0.25">
      <c r="A12" s="4"/>
      <c r="B12" s="7"/>
      <c r="C12" s="4"/>
      <c r="D12" s="4"/>
      <c r="E12" s="2"/>
      <c r="F12" s="4"/>
      <c r="G12" s="4"/>
      <c r="H12" s="4"/>
      <c r="I12" s="4"/>
      <c r="J12" s="4"/>
      <c r="K12" s="2"/>
      <c r="L12" s="2"/>
      <c r="M12" s="4"/>
      <c r="N12" s="4"/>
      <c r="O12" s="4"/>
      <c r="P12" s="4"/>
      <c r="Q12" t="str">
        <f>IFERROR(IF(AND(T12=1,SUMPRODUCT(--($B$5:B11&gt;B12),$T$5:T11)&gt;0),"CHECK CASH DATE ORDER",IF(COUNTA(A12:P12)=0,"UNUSED",IF(OR(A12="",NOT(ISNUMBER(B12)),NOT(ISNUMBER(E12)),E12&lt;0,COUNTIF($A$5:$A$64,A12)&lt;&gt;1,AND(C12&lt;&gt;"Confirmed",C12&lt;&gt;"Disputed",C12&lt;&gt;"Expected",C12&lt;&gt;"Historical"),AND(N12&lt;&gt;"Cash + allocation",N12&lt;&gt;"Cash only",N12&lt;&gt;"Allocation only"),LEN(TRIM(P12))=0),"CHECK ID / AMOUNT / STATUS",IF(C12="Expected","EXPECTED — EXCLUDED",IF(C12="Historical",IF(B12&lt;Setup!$B$6,"HISTORICAL — NO CASH","CHECK HISTORICAL DATE"),IF(OR(B12&lt;Setup!$B$6,B12&gt;Setup!$B$7,AND(D12="Expense",OR(AND(F12&lt;&gt;"A",F12&lt;&gt;"B",F12&lt;&gt;"Checking",F12&lt;&gt;"Savings"),G12&lt;&gt;"Merchant")),AND(D12="Refund",OR(F12&lt;&gt;"Merchant",AND(G12&lt;&gt;"A",G12&lt;&gt;"B",G12&lt;&gt;"Checking",G12&lt;&gt;"Savings"))),AND(D12="Contribution",OR(AND(F12&lt;&gt;"A",F12&lt;&gt;"B"),NOT(OR(G12="Checking",G12="Savings")))),AND(D12="ReturnContribution",OR(NOT(OR(F12="Checking",F12="Savings")),AND(G12&lt;&gt;"A",G12&lt;&gt;"B"))),AND(OR(D12="Settlement",D12="PersonalSupport"),OR(AND(M12&lt;&gt;"A",M12&lt;&gt;"B"),IF(M12="A",G12&lt;&gt;"B",G12&lt;&gt;"A"),AND(NOT(OR(F12="Checking",F12="Savings")),F12&lt;&gt;M12))),AND(OR(D12="InternalTransfer",D12="BoundaryTransfer"),OR(NOT(OR(F12="Checking",F12="Savings")),NOT(OR(G12="Checking",G12="Savings")),F12=G12)),AND(D12&lt;&gt;"Expense",D12&lt;&gt;"Refund",D12&lt;&gt;"Contribution",D12&lt;&gt;"ReturnContribution",D12&lt;&gt;"Settlement",D12&lt;&gt;"PersonalSupport",D12&lt;&gt;"InternalTransfer",D12&lt;&gt;"BoundaryTransfer"),AND(Setup!$B$8="None",OR(OR(F12="Checking",F12="Savings"),OR(G12="Checking",G12="Savings"))),AND(Setup!$B$8="Checking",Setup!$B$23&lt;&gt;"Active",OR(F12="Savings",G12="Savings")),AND(T12=1,MIN(AI12:AJ12)&lt; -0.005),AND(N12="Cash only",D12&lt;&gt;"Expense"),AND(N12="Allocation only",D12&lt;&gt;"Expense")),"CHECK CASH / SCOPE","READY")))))),"CHECK INVALID INPUT")</f>
        <v>UNUSED</v>
      </c>
      <c r="R12" t="str">
        <f>IFERROR(IF(AND(C12="Historical",D12="Expense",OR(IFERROR(INDEX(Agreements!$Z$5:$Z$16,MATCH(H12,Agreements!$A$5:$A$16,0)),"MISSING")&lt;&gt;"READY",B12&lt;IFERROR(INDEX(Agreements!$C$5:$C$16,MATCH(H12,Agreements!$A$5:$A$16,0)),0),B12&gt;IFERROR(INDEX(Agreements!$D$5:$D$16,MATCH(H12,Agreements!$A$5:$A$16,0)),0))),"CHECK HISTORICAL AGREEMENT",IF(AND(C12="Confirmed",D12="Refund",AND(IFERROR(INDEX($C$5:$C$64,MATCH(I12,$A$5:$A$64,0)),"")&lt;&gt;"Confirmed",IFERROR(INDEX($C$5:$C$64,MATCH(I12,$A$5:$A$64,0)),"")&lt;&gt;"Historical")),"CHECK REFUND SOURCE STATUS",IF(COUNTA(A12:P12)=0,"UNUSED",IF(OR(C12="Expected",C12="Historical"),"NOT CURRENT",IF(C12="Disputed","DISPUTED — CLOSE PENDING",IF(N12="Cash only",IF(ABS(BD12-E12)&lt;0.005,"READY","CHECK ALLOCATION TOTAL"),IF(OR(D12="Expense",D12="Refund"),IF(OR(IFERROR(INDEX(Agreements!$Z$5:$Z$16,MATCH(H12,Agreements!$A$5:$A$16,0)),0)&lt;&gt;"READY",AND(D12="Expense",OR(B12&lt;IFERROR(INDEX(Agreements!$C$5:$C$16,MATCH(H12,Agreements!$A$5:$A$16,0)),0),B12&gt;IFERROR(INDEX(Agreements!$D$5:$D$16,MATCH(H12,Agreements!$A$5:$A$16,0)),0))),AND(D12="Refund",OR(IFERROR(INDEX($D$5:$D$64,MATCH(I12,$A$5:$A$64,0)),"")&lt;&gt;"Expense",IFERROR(INDEX($H$5:$H$64,MATCH(I12,$A$5:$A$64,0)),"")&lt;&gt;H12,SUMIFS($E$5:$E$64,$I$5:$I$64,I12,$D$5:$D$64,"Refund",$C$5:$C$64,"&lt;&gt;Expected")&gt;N(IFERROR(INDEX($E$5:$E$64,MATCH(I12,$A$5:$A$64,0)),""))+0.005,I12="")),AND(N12="Allocation only",OR(O12="",IFERROR(INDEX($F$5:$F$64,MATCH(O12,$A$5:$A$64,0)),"")&lt;&gt;F12,IFERROR(INDEX($N$5:$N$64,MATCH(O12,$A$5:$A$64,0)),"")&lt;&gt;"Cash only")),AND(Setup!$B$8="Checking",OR(F12="Savings",G12="Savings"))),"CHECK AGREEMENT / REFUND / SCOPE","READY"),"READY"))))))),"CHECK INVALID INPUT")</f>
        <v>UNUSED</v>
      </c>
      <c r="S12" t="str">
        <f t="shared" si="27"/>
        <v>UNUSED</v>
      </c>
      <c r="T12">
        <f t="shared" si="0"/>
        <v>0</v>
      </c>
      <c r="U12">
        <f t="shared" si="1"/>
        <v>0</v>
      </c>
      <c r="V12">
        <f>IFERROR(MATCH(H12,Agreements!$A$5:$A$16,0),0)</f>
        <v>0</v>
      </c>
      <c r="W12" s="6">
        <f>IF(D12="Refund",IFERROR(INDEX(Agreements!$AA$5:$AA$16,MATCH(IFERROR(INDEX($H$5:$H$64,MATCH(I12,$A$5:$A$64,0)),""),Agreements!$A$5:$A$16,0)),0),IFERROR(INDEX(Agreements!$AA$5:$AA$16,MATCH(H12,Agreements!$A$5:$A$16,0)),0))</f>
        <v>0</v>
      </c>
      <c r="X12" s="3">
        <f t="shared" si="2"/>
        <v>0</v>
      </c>
      <c r="Y12" s="3">
        <f t="shared" si="3"/>
        <v>0</v>
      </c>
      <c r="Z12" s="3">
        <f t="shared" si="4"/>
        <v>0</v>
      </c>
      <c r="AA12" s="3">
        <f t="shared" si="5"/>
        <v>0</v>
      </c>
      <c r="AB12" s="3">
        <f t="shared" si="6"/>
        <v>0</v>
      </c>
      <c r="AC12" s="3">
        <f t="shared" si="7"/>
        <v>0</v>
      </c>
      <c r="AD12" s="3">
        <f t="shared" si="8"/>
        <v>0</v>
      </c>
      <c r="AE12" s="3">
        <f t="shared" si="9"/>
        <v>0</v>
      </c>
      <c r="AF12" s="3">
        <f t="shared" si="10"/>
        <v>0</v>
      </c>
      <c r="AG12" s="3">
        <f t="shared" si="11"/>
        <v>0</v>
      </c>
      <c r="AH12" s="3">
        <f t="shared" si="12"/>
        <v>0</v>
      </c>
      <c r="AI12" s="3">
        <f>N(Setup!$B$12)+SUM(AC$5:AC12)</f>
        <v>0</v>
      </c>
      <c r="AJ12" s="3">
        <f>N(Setup!$B$18)+SUM(AD$5:AD12)</f>
        <v>0</v>
      </c>
      <c r="AK12" s="3">
        <f>N(Setup!$B$13)+SUM(AE$5:AE12)</f>
        <v>0</v>
      </c>
      <c r="AL12" s="3">
        <f>N(Setup!$B$14)+SUM(AF$5:AF12)</f>
        <v>0</v>
      </c>
      <c r="AM12" s="3">
        <f>N(Setup!$B$19)+SUM(AG$5:AG12)</f>
        <v>0</v>
      </c>
      <c r="AN12" s="3">
        <f>N(Setup!$B$20)+SUM(AH$5:AH12)</f>
        <v>0</v>
      </c>
      <c r="AO12" s="3">
        <f t="shared" si="13"/>
        <v>0</v>
      </c>
      <c r="AP12" s="3">
        <f t="shared" si="14"/>
        <v>0</v>
      </c>
      <c r="AQ12" s="3">
        <f t="shared" si="15"/>
        <v>0</v>
      </c>
      <c r="AR12" s="3">
        <f t="shared" si="16"/>
        <v>0</v>
      </c>
      <c r="AS12" s="3">
        <f t="shared" si="17"/>
        <v>0</v>
      </c>
      <c r="AT12" s="3">
        <f t="shared" si="18"/>
        <v>0</v>
      </c>
      <c r="AU12" s="3">
        <f t="shared" si="19"/>
        <v>0</v>
      </c>
      <c r="AV12" s="3">
        <f t="shared" si="20"/>
        <v>0</v>
      </c>
      <c r="AW12" s="3">
        <f t="shared" si="21"/>
        <v>0</v>
      </c>
      <c r="AX12" s="3">
        <f t="shared" si="22"/>
        <v>0</v>
      </c>
      <c r="AY12" s="3">
        <f t="shared" si="23"/>
        <v>0</v>
      </c>
      <c r="AZ12" t="b">
        <f t="shared" si="24"/>
        <v>0</v>
      </c>
      <c r="BA12" t="b">
        <f>OR(AND(F12="Checking",Setup!$B$8&lt;&gt;"None"),AND(F12="Savings",Setup!$B$8="Combined"))</f>
        <v>0</v>
      </c>
      <c r="BB12" t="b">
        <f>OR(AND(G12="Checking",Setup!$B$8&lt;&gt;"None"),AND(G12="Savings",Setup!$B$8="Combined"))</f>
        <v>0</v>
      </c>
      <c r="BC12" t="b">
        <f t="shared" si="25"/>
        <v>0</v>
      </c>
      <c r="BD12" s="3">
        <f t="shared" si="26"/>
        <v>0</v>
      </c>
    </row>
    <row r="13" spans="1:56" ht="63.95" customHeight="1" x14ac:dyDescent="0.25">
      <c r="A13" s="4"/>
      <c r="B13" s="7"/>
      <c r="C13" s="4"/>
      <c r="D13" s="4"/>
      <c r="E13" s="2"/>
      <c r="F13" s="4"/>
      <c r="G13" s="4"/>
      <c r="H13" s="4"/>
      <c r="I13" s="4"/>
      <c r="J13" s="4"/>
      <c r="K13" s="2"/>
      <c r="L13" s="2"/>
      <c r="M13" s="4"/>
      <c r="N13" s="4"/>
      <c r="O13" s="4"/>
      <c r="P13" s="4"/>
      <c r="Q13" t="str">
        <f>IFERROR(IF(AND(T13=1,SUMPRODUCT(--($B$5:B12&gt;B13),$T$5:T12)&gt;0),"CHECK CASH DATE ORDER",IF(COUNTA(A13:P13)=0,"UNUSED",IF(OR(A13="",NOT(ISNUMBER(B13)),NOT(ISNUMBER(E13)),E13&lt;0,COUNTIF($A$5:$A$64,A13)&lt;&gt;1,AND(C13&lt;&gt;"Confirmed",C13&lt;&gt;"Disputed",C13&lt;&gt;"Expected",C13&lt;&gt;"Historical"),AND(N13&lt;&gt;"Cash + allocation",N13&lt;&gt;"Cash only",N13&lt;&gt;"Allocation only"),LEN(TRIM(P13))=0),"CHECK ID / AMOUNT / STATUS",IF(C13="Expected","EXPECTED — EXCLUDED",IF(C13="Historical",IF(B13&lt;Setup!$B$6,"HISTORICAL — NO CASH","CHECK HISTORICAL DATE"),IF(OR(B13&lt;Setup!$B$6,B13&gt;Setup!$B$7,AND(D13="Expense",OR(AND(F13&lt;&gt;"A",F13&lt;&gt;"B",F13&lt;&gt;"Checking",F13&lt;&gt;"Savings"),G13&lt;&gt;"Merchant")),AND(D13="Refund",OR(F13&lt;&gt;"Merchant",AND(G13&lt;&gt;"A",G13&lt;&gt;"B",G13&lt;&gt;"Checking",G13&lt;&gt;"Savings"))),AND(D13="Contribution",OR(AND(F13&lt;&gt;"A",F13&lt;&gt;"B"),NOT(OR(G13="Checking",G13="Savings")))),AND(D13="ReturnContribution",OR(NOT(OR(F13="Checking",F13="Savings")),AND(G13&lt;&gt;"A",G13&lt;&gt;"B"))),AND(OR(D13="Settlement",D13="PersonalSupport"),OR(AND(M13&lt;&gt;"A",M13&lt;&gt;"B"),IF(M13="A",G13&lt;&gt;"B",G13&lt;&gt;"A"),AND(NOT(OR(F13="Checking",F13="Savings")),F13&lt;&gt;M13))),AND(OR(D13="InternalTransfer",D13="BoundaryTransfer"),OR(NOT(OR(F13="Checking",F13="Savings")),NOT(OR(G13="Checking",G13="Savings")),F13=G13)),AND(D13&lt;&gt;"Expense",D13&lt;&gt;"Refund",D13&lt;&gt;"Contribution",D13&lt;&gt;"ReturnContribution",D13&lt;&gt;"Settlement",D13&lt;&gt;"PersonalSupport",D13&lt;&gt;"InternalTransfer",D13&lt;&gt;"BoundaryTransfer"),AND(Setup!$B$8="None",OR(OR(F13="Checking",F13="Savings"),OR(G13="Checking",G13="Savings"))),AND(Setup!$B$8="Checking",Setup!$B$23&lt;&gt;"Active",OR(F13="Savings",G13="Savings")),AND(T13=1,MIN(AI13:AJ13)&lt; -0.005),AND(N13="Cash only",D13&lt;&gt;"Expense"),AND(N13="Allocation only",D13&lt;&gt;"Expense")),"CHECK CASH / SCOPE","READY")))))),"CHECK INVALID INPUT")</f>
        <v>UNUSED</v>
      </c>
      <c r="R13" t="str">
        <f>IFERROR(IF(AND(C13="Historical",D13="Expense",OR(IFERROR(INDEX(Agreements!$Z$5:$Z$16,MATCH(H13,Agreements!$A$5:$A$16,0)),"MISSING")&lt;&gt;"READY",B13&lt;IFERROR(INDEX(Agreements!$C$5:$C$16,MATCH(H13,Agreements!$A$5:$A$16,0)),0),B13&gt;IFERROR(INDEX(Agreements!$D$5:$D$16,MATCH(H13,Agreements!$A$5:$A$16,0)),0))),"CHECK HISTORICAL AGREEMENT",IF(AND(C13="Confirmed",D13="Refund",AND(IFERROR(INDEX($C$5:$C$64,MATCH(I13,$A$5:$A$64,0)),"")&lt;&gt;"Confirmed",IFERROR(INDEX($C$5:$C$64,MATCH(I13,$A$5:$A$64,0)),"")&lt;&gt;"Historical")),"CHECK REFUND SOURCE STATUS",IF(COUNTA(A13:P13)=0,"UNUSED",IF(OR(C13="Expected",C13="Historical"),"NOT CURRENT",IF(C13="Disputed","DISPUTED — CLOSE PENDING",IF(N13="Cash only",IF(ABS(BD13-E13)&lt;0.005,"READY","CHECK ALLOCATION TOTAL"),IF(OR(D13="Expense",D13="Refund"),IF(OR(IFERROR(INDEX(Agreements!$Z$5:$Z$16,MATCH(H13,Agreements!$A$5:$A$16,0)),0)&lt;&gt;"READY",AND(D13="Expense",OR(B13&lt;IFERROR(INDEX(Agreements!$C$5:$C$16,MATCH(H13,Agreements!$A$5:$A$16,0)),0),B13&gt;IFERROR(INDEX(Agreements!$D$5:$D$16,MATCH(H13,Agreements!$A$5:$A$16,0)),0))),AND(D13="Refund",OR(IFERROR(INDEX($D$5:$D$64,MATCH(I13,$A$5:$A$64,0)),"")&lt;&gt;"Expense",IFERROR(INDEX($H$5:$H$64,MATCH(I13,$A$5:$A$64,0)),"")&lt;&gt;H13,SUMIFS($E$5:$E$64,$I$5:$I$64,I13,$D$5:$D$64,"Refund",$C$5:$C$64,"&lt;&gt;Expected")&gt;N(IFERROR(INDEX($E$5:$E$64,MATCH(I13,$A$5:$A$64,0)),""))+0.005,I13="")),AND(N13="Allocation only",OR(O13="",IFERROR(INDEX($F$5:$F$64,MATCH(O13,$A$5:$A$64,0)),"")&lt;&gt;F13,IFERROR(INDEX($N$5:$N$64,MATCH(O13,$A$5:$A$64,0)),"")&lt;&gt;"Cash only")),AND(Setup!$B$8="Checking",OR(F13="Savings",G13="Savings"))),"CHECK AGREEMENT / REFUND / SCOPE","READY"),"READY"))))))),"CHECK INVALID INPUT")</f>
        <v>UNUSED</v>
      </c>
      <c r="S13" t="str">
        <f t="shared" si="27"/>
        <v>UNUSED</v>
      </c>
      <c r="T13">
        <f t="shared" si="0"/>
        <v>0</v>
      </c>
      <c r="U13">
        <f t="shared" si="1"/>
        <v>0</v>
      </c>
      <c r="V13">
        <f>IFERROR(MATCH(H13,Agreements!$A$5:$A$16,0),0)</f>
        <v>0</v>
      </c>
      <c r="W13" s="6">
        <f>IF(D13="Refund",IFERROR(INDEX(Agreements!$AA$5:$AA$16,MATCH(IFERROR(INDEX($H$5:$H$64,MATCH(I13,$A$5:$A$64,0)),""),Agreements!$A$5:$A$16,0)),0),IFERROR(INDEX(Agreements!$AA$5:$AA$16,MATCH(H13,Agreements!$A$5:$A$16,0)),0))</f>
        <v>0</v>
      </c>
      <c r="X13" s="3">
        <f t="shared" si="2"/>
        <v>0</v>
      </c>
      <c r="Y13" s="3">
        <f t="shared" si="3"/>
        <v>0</v>
      </c>
      <c r="Z13" s="3">
        <f t="shared" si="4"/>
        <v>0</v>
      </c>
      <c r="AA13" s="3">
        <f t="shared" si="5"/>
        <v>0</v>
      </c>
      <c r="AB13" s="3">
        <f t="shared" si="6"/>
        <v>0</v>
      </c>
      <c r="AC13" s="3">
        <f t="shared" si="7"/>
        <v>0</v>
      </c>
      <c r="AD13" s="3">
        <f t="shared" si="8"/>
        <v>0</v>
      </c>
      <c r="AE13" s="3">
        <f t="shared" si="9"/>
        <v>0</v>
      </c>
      <c r="AF13" s="3">
        <f t="shared" si="10"/>
        <v>0</v>
      </c>
      <c r="AG13" s="3">
        <f t="shared" si="11"/>
        <v>0</v>
      </c>
      <c r="AH13" s="3">
        <f t="shared" si="12"/>
        <v>0</v>
      </c>
      <c r="AI13" s="3">
        <f>N(Setup!$B$12)+SUM(AC$5:AC13)</f>
        <v>0</v>
      </c>
      <c r="AJ13" s="3">
        <f>N(Setup!$B$18)+SUM(AD$5:AD13)</f>
        <v>0</v>
      </c>
      <c r="AK13" s="3">
        <f>N(Setup!$B$13)+SUM(AE$5:AE13)</f>
        <v>0</v>
      </c>
      <c r="AL13" s="3">
        <f>N(Setup!$B$14)+SUM(AF$5:AF13)</f>
        <v>0</v>
      </c>
      <c r="AM13" s="3">
        <f>N(Setup!$B$19)+SUM(AG$5:AG13)</f>
        <v>0</v>
      </c>
      <c r="AN13" s="3">
        <f>N(Setup!$B$20)+SUM(AH$5:AH13)</f>
        <v>0</v>
      </c>
      <c r="AO13" s="3">
        <f t="shared" si="13"/>
        <v>0</v>
      </c>
      <c r="AP13" s="3">
        <f t="shared" si="14"/>
        <v>0</v>
      </c>
      <c r="AQ13" s="3">
        <f t="shared" si="15"/>
        <v>0</v>
      </c>
      <c r="AR13" s="3">
        <f t="shared" si="16"/>
        <v>0</v>
      </c>
      <c r="AS13" s="3">
        <f t="shared" si="17"/>
        <v>0</v>
      </c>
      <c r="AT13" s="3">
        <f t="shared" si="18"/>
        <v>0</v>
      </c>
      <c r="AU13" s="3">
        <f t="shared" si="19"/>
        <v>0</v>
      </c>
      <c r="AV13" s="3">
        <f t="shared" si="20"/>
        <v>0</v>
      </c>
      <c r="AW13" s="3">
        <f t="shared" si="21"/>
        <v>0</v>
      </c>
      <c r="AX13" s="3">
        <f t="shared" si="22"/>
        <v>0</v>
      </c>
      <c r="AY13" s="3">
        <f t="shared" si="23"/>
        <v>0</v>
      </c>
      <c r="AZ13" t="b">
        <f t="shared" si="24"/>
        <v>0</v>
      </c>
      <c r="BA13" t="b">
        <f>OR(AND(F13="Checking",Setup!$B$8&lt;&gt;"None"),AND(F13="Savings",Setup!$B$8="Combined"))</f>
        <v>0</v>
      </c>
      <c r="BB13" t="b">
        <f>OR(AND(G13="Checking",Setup!$B$8&lt;&gt;"None"),AND(G13="Savings",Setup!$B$8="Combined"))</f>
        <v>0</v>
      </c>
      <c r="BC13" t="b">
        <f t="shared" si="25"/>
        <v>0</v>
      </c>
      <c r="BD13" s="3">
        <f t="shared" si="26"/>
        <v>0</v>
      </c>
    </row>
    <row r="14" spans="1:56" ht="63.95" customHeight="1" x14ac:dyDescent="0.25">
      <c r="A14" s="4"/>
      <c r="B14" s="7"/>
      <c r="C14" s="4"/>
      <c r="D14" s="4"/>
      <c r="E14" s="2"/>
      <c r="F14" s="4"/>
      <c r="G14" s="4"/>
      <c r="H14" s="4"/>
      <c r="I14" s="4"/>
      <c r="J14" s="4"/>
      <c r="K14" s="2"/>
      <c r="L14" s="2"/>
      <c r="M14" s="4"/>
      <c r="N14" s="4"/>
      <c r="O14" s="4"/>
      <c r="P14" s="4"/>
      <c r="Q14" t="str">
        <f>IFERROR(IF(AND(T14=1,SUMPRODUCT(--($B$5:B13&gt;B14),$T$5:T13)&gt;0),"CHECK CASH DATE ORDER",IF(COUNTA(A14:P14)=0,"UNUSED",IF(OR(A14="",NOT(ISNUMBER(B14)),NOT(ISNUMBER(E14)),E14&lt;0,COUNTIF($A$5:$A$64,A14)&lt;&gt;1,AND(C14&lt;&gt;"Confirmed",C14&lt;&gt;"Disputed",C14&lt;&gt;"Expected",C14&lt;&gt;"Historical"),AND(N14&lt;&gt;"Cash + allocation",N14&lt;&gt;"Cash only",N14&lt;&gt;"Allocation only"),LEN(TRIM(P14))=0),"CHECK ID / AMOUNT / STATUS",IF(C14="Expected","EXPECTED — EXCLUDED",IF(C14="Historical",IF(B14&lt;Setup!$B$6,"HISTORICAL — NO CASH","CHECK HISTORICAL DATE"),IF(OR(B14&lt;Setup!$B$6,B14&gt;Setup!$B$7,AND(D14="Expense",OR(AND(F14&lt;&gt;"A",F14&lt;&gt;"B",F14&lt;&gt;"Checking",F14&lt;&gt;"Savings"),G14&lt;&gt;"Merchant")),AND(D14="Refund",OR(F14&lt;&gt;"Merchant",AND(G14&lt;&gt;"A",G14&lt;&gt;"B",G14&lt;&gt;"Checking",G14&lt;&gt;"Savings"))),AND(D14="Contribution",OR(AND(F14&lt;&gt;"A",F14&lt;&gt;"B"),NOT(OR(G14="Checking",G14="Savings")))),AND(D14="ReturnContribution",OR(NOT(OR(F14="Checking",F14="Savings")),AND(G14&lt;&gt;"A",G14&lt;&gt;"B"))),AND(OR(D14="Settlement",D14="PersonalSupport"),OR(AND(M14&lt;&gt;"A",M14&lt;&gt;"B"),IF(M14="A",G14&lt;&gt;"B",G14&lt;&gt;"A"),AND(NOT(OR(F14="Checking",F14="Savings")),F14&lt;&gt;M14))),AND(OR(D14="InternalTransfer",D14="BoundaryTransfer"),OR(NOT(OR(F14="Checking",F14="Savings")),NOT(OR(G14="Checking",G14="Savings")),F14=G14)),AND(D14&lt;&gt;"Expense",D14&lt;&gt;"Refund",D14&lt;&gt;"Contribution",D14&lt;&gt;"ReturnContribution",D14&lt;&gt;"Settlement",D14&lt;&gt;"PersonalSupport",D14&lt;&gt;"InternalTransfer",D14&lt;&gt;"BoundaryTransfer"),AND(Setup!$B$8="None",OR(OR(F14="Checking",F14="Savings"),OR(G14="Checking",G14="Savings"))),AND(Setup!$B$8="Checking",Setup!$B$23&lt;&gt;"Active",OR(F14="Savings",G14="Savings")),AND(T14=1,MIN(AI14:AJ14)&lt; -0.005),AND(N14="Cash only",D14&lt;&gt;"Expense"),AND(N14="Allocation only",D14&lt;&gt;"Expense")),"CHECK CASH / SCOPE","READY")))))),"CHECK INVALID INPUT")</f>
        <v>UNUSED</v>
      </c>
      <c r="R14" t="str">
        <f>IFERROR(IF(AND(C14="Historical",D14="Expense",OR(IFERROR(INDEX(Agreements!$Z$5:$Z$16,MATCH(H14,Agreements!$A$5:$A$16,0)),"MISSING")&lt;&gt;"READY",B14&lt;IFERROR(INDEX(Agreements!$C$5:$C$16,MATCH(H14,Agreements!$A$5:$A$16,0)),0),B14&gt;IFERROR(INDEX(Agreements!$D$5:$D$16,MATCH(H14,Agreements!$A$5:$A$16,0)),0))),"CHECK HISTORICAL AGREEMENT",IF(AND(C14="Confirmed",D14="Refund",AND(IFERROR(INDEX($C$5:$C$64,MATCH(I14,$A$5:$A$64,0)),"")&lt;&gt;"Confirmed",IFERROR(INDEX($C$5:$C$64,MATCH(I14,$A$5:$A$64,0)),"")&lt;&gt;"Historical")),"CHECK REFUND SOURCE STATUS",IF(COUNTA(A14:P14)=0,"UNUSED",IF(OR(C14="Expected",C14="Historical"),"NOT CURRENT",IF(C14="Disputed","DISPUTED — CLOSE PENDING",IF(N14="Cash only",IF(ABS(BD14-E14)&lt;0.005,"READY","CHECK ALLOCATION TOTAL"),IF(OR(D14="Expense",D14="Refund"),IF(OR(IFERROR(INDEX(Agreements!$Z$5:$Z$16,MATCH(H14,Agreements!$A$5:$A$16,0)),0)&lt;&gt;"READY",AND(D14="Expense",OR(B14&lt;IFERROR(INDEX(Agreements!$C$5:$C$16,MATCH(H14,Agreements!$A$5:$A$16,0)),0),B14&gt;IFERROR(INDEX(Agreements!$D$5:$D$16,MATCH(H14,Agreements!$A$5:$A$16,0)),0))),AND(D14="Refund",OR(IFERROR(INDEX($D$5:$D$64,MATCH(I14,$A$5:$A$64,0)),"")&lt;&gt;"Expense",IFERROR(INDEX($H$5:$H$64,MATCH(I14,$A$5:$A$64,0)),"")&lt;&gt;H14,SUMIFS($E$5:$E$64,$I$5:$I$64,I14,$D$5:$D$64,"Refund",$C$5:$C$64,"&lt;&gt;Expected")&gt;N(IFERROR(INDEX($E$5:$E$64,MATCH(I14,$A$5:$A$64,0)),""))+0.005,I14="")),AND(N14="Allocation only",OR(O14="",IFERROR(INDEX($F$5:$F$64,MATCH(O14,$A$5:$A$64,0)),"")&lt;&gt;F14,IFERROR(INDEX($N$5:$N$64,MATCH(O14,$A$5:$A$64,0)),"")&lt;&gt;"Cash only")),AND(Setup!$B$8="Checking",OR(F14="Savings",G14="Savings"))),"CHECK AGREEMENT / REFUND / SCOPE","READY"),"READY"))))))),"CHECK INVALID INPUT")</f>
        <v>UNUSED</v>
      </c>
      <c r="S14" t="str">
        <f t="shared" si="27"/>
        <v>UNUSED</v>
      </c>
      <c r="T14">
        <f t="shared" si="0"/>
        <v>0</v>
      </c>
      <c r="U14">
        <f t="shared" si="1"/>
        <v>0</v>
      </c>
      <c r="V14">
        <f>IFERROR(MATCH(H14,Agreements!$A$5:$A$16,0),0)</f>
        <v>0</v>
      </c>
      <c r="W14" s="6">
        <f>IF(D14="Refund",IFERROR(INDEX(Agreements!$AA$5:$AA$16,MATCH(IFERROR(INDEX($H$5:$H$64,MATCH(I14,$A$5:$A$64,0)),""),Agreements!$A$5:$A$16,0)),0),IFERROR(INDEX(Agreements!$AA$5:$AA$16,MATCH(H14,Agreements!$A$5:$A$16,0)),0))</f>
        <v>0</v>
      </c>
      <c r="X14" s="3">
        <f t="shared" si="2"/>
        <v>0</v>
      </c>
      <c r="Y14" s="3">
        <f t="shared" si="3"/>
        <v>0</v>
      </c>
      <c r="Z14" s="3">
        <f t="shared" si="4"/>
        <v>0</v>
      </c>
      <c r="AA14" s="3">
        <f t="shared" si="5"/>
        <v>0</v>
      </c>
      <c r="AB14" s="3">
        <f t="shared" si="6"/>
        <v>0</v>
      </c>
      <c r="AC14" s="3">
        <f t="shared" si="7"/>
        <v>0</v>
      </c>
      <c r="AD14" s="3">
        <f t="shared" si="8"/>
        <v>0</v>
      </c>
      <c r="AE14" s="3">
        <f t="shared" si="9"/>
        <v>0</v>
      </c>
      <c r="AF14" s="3">
        <f t="shared" si="10"/>
        <v>0</v>
      </c>
      <c r="AG14" s="3">
        <f t="shared" si="11"/>
        <v>0</v>
      </c>
      <c r="AH14" s="3">
        <f t="shared" si="12"/>
        <v>0</v>
      </c>
      <c r="AI14" s="3">
        <f>N(Setup!$B$12)+SUM(AC$5:AC14)</f>
        <v>0</v>
      </c>
      <c r="AJ14" s="3">
        <f>N(Setup!$B$18)+SUM(AD$5:AD14)</f>
        <v>0</v>
      </c>
      <c r="AK14" s="3">
        <f>N(Setup!$B$13)+SUM(AE$5:AE14)</f>
        <v>0</v>
      </c>
      <c r="AL14" s="3">
        <f>N(Setup!$B$14)+SUM(AF$5:AF14)</f>
        <v>0</v>
      </c>
      <c r="AM14" s="3">
        <f>N(Setup!$B$19)+SUM(AG$5:AG14)</f>
        <v>0</v>
      </c>
      <c r="AN14" s="3">
        <f>N(Setup!$B$20)+SUM(AH$5:AH14)</f>
        <v>0</v>
      </c>
      <c r="AO14" s="3">
        <f t="shared" si="13"/>
        <v>0</v>
      </c>
      <c r="AP14" s="3">
        <f t="shared" si="14"/>
        <v>0</v>
      </c>
      <c r="AQ14" s="3">
        <f t="shared" si="15"/>
        <v>0</v>
      </c>
      <c r="AR14" s="3">
        <f t="shared" si="16"/>
        <v>0</v>
      </c>
      <c r="AS14" s="3">
        <f t="shared" si="17"/>
        <v>0</v>
      </c>
      <c r="AT14" s="3">
        <f t="shared" si="18"/>
        <v>0</v>
      </c>
      <c r="AU14" s="3">
        <f t="shared" si="19"/>
        <v>0</v>
      </c>
      <c r="AV14" s="3">
        <f t="shared" si="20"/>
        <v>0</v>
      </c>
      <c r="AW14" s="3">
        <f t="shared" si="21"/>
        <v>0</v>
      </c>
      <c r="AX14" s="3">
        <f t="shared" si="22"/>
        <v>0</v>
      </c>
      <c r="AY14" s="3">
        <f t="shared" si="23"/>
        <v>0</v>
      </c>
      <c r="AZ14" t="b">
        <f t="shared" si="24"/>
        <v>0</v>
      </c>
      <c r="BA14" t="b">
        <f>OR(AND(F14="Checking",Setup!$B$8&lt;&gt;"None"),AND(F14="Savings",Setup!$B$8="Combined"))</f>
        <v>0</v>
      </c>
      <c r="BB14" t="b">
        <f>OR(AND(G14="Checking",Setup!$B$8&lt;&gt;"None"),AND(G14="Savings",Setup!$B$8="Combined"))</f>
        <v>0</v>
      </c>
      <c r="BC14" t="b">
        <f t="shared" si="25"/>
        <v>0</v>
      </c>
      <c r="BD14" s="3">
        <f t="shared" si="26"/>
        <v>0</v>
      </c>
    </row>
    <row r="15" spans="1:56" ht="63.95" customHeight="1" x14ac:dyDescent="0.25">
      <c r="A15" s="4"/>
      <c r="B15" s="7"/>
      <c r="C15" s="4"/>
      <c r="D15" s="4"/>
      <c r="E15" s="2"/>
      <c r="F15" s="4"/>
      <c r="G15" s="4"/>
      <c r="H15" s="4"/>
      <c r="I15" s="4"/>
      <c r="J15" s="4"/>
      <c r="K15" s="2"/>
      <c r="L15" s="2"/>
      <c r="M15" s="4"/>
      <c r="N15" s="4"/>
      <c r="O15" s="4"/>
      <c r="P15" s="4"/>
      <c r="Q15" t="str">
        <f>IFERROR(IF(AND(T15=1,SUMPRODUCT(--($B$5:B14&gt;B15),$T$5:T14)&gt;0),"CHECK CASH DATE ORDER",IF(COUNTA(A15:P15)=0,"UNUSED",IF(OR(A15="",NOT(ISNUMBER(B15)),NOT(ISNUMBER(E15)),E15&lt;0,COUNTIF($A$5:$A$64,A15)&lt;&gt;1,AND(C15&lt;&gt;"Confirmed",C15&lt;&gt;"Disputed",C15&lt;&gt;"Expected",C15&lt;&gt;"Historical"),AND(N15&lt;&gt;"Cash + allocation",N15&lt;&gt;"Cash only",N15&lt;&gt;"Allocation only"),LEN(TRIM(P15))=0),"CHECK ID / AMOUNT / STATUS",IF(C15="Expected","EXPECTED — EXCLUDED",IF(C15="Historical",IF(B15&lt;Setup!$B$6,"HISTORICAL — NO CASH","CHECK HISTORICAL DATE"),IF(OR(B15&lt;Setup!$B$6,B15&gt;Setup!$B$7,AND(D15="Expense",OR(AND(F15&lt;&gt;"A",F15&lt;&gt;"B",F15&lt;&gt;"Checking",F15&lt;&gt;"Savings"),G15&lt;&gt;"Merchant")),AND(D15="Refund",OR(F15&lt;&gt;"Merchant",AND(G15&lt;&gt;"A",G15&lt;&gt;"B",G15&lt;&gt;"Checking",G15&lt;&gt;"Savings"))),AND(D15="Contribution",OR(AND(F15&lt;&gt;"A",F15&lt;&gt;"B"),NOT(OR(G15="Checking",G15="Savings")))),AND(D15="ReturnContribution",OR(NOT(OR(F15="Checking",F15="Savings")),AND(G15&lt;&gt;"A",G15&lt;&gt;"B"))),AND(OR(D15="Settlement",D15="PersonalSupport"),OR(AND(M15&lt;&gt;"A",M15&lt;&gt;"B"),IF(M15="A",G15&lt;&gt;"B",G15&lt;&gt;"A"),AND(NOT(OR(F15="Checking",F15="Savings")),F15&lt;&gt;M15))),AND(OR(D15="InternalTransfer",D15="BoundaryTransfer"),OR(NOT(OR(F15="Checking",F15="Savings")),NOT(OR(G15="Checking",G15="Savings")),F15=G15)),AND(D15&lt;&gt;"Expense",D15&lt;&gt;"Refund",D15&lt;&gt;"Contribution",D15&lt;&gt;"ReturnContribution",D15&lt;&gt;"Settlement",D15&lt;&gt;"PersonalSupport",D15&lt;&gt;"InternalTransfer",D15&lt;&gt;"BoundaryTransfer"),AND(Setup!$B$8="None",OR(OR(F15="Checking",F15="Savings"),OR(G15="Checking",G15="Savings"))),AND(Setup!$B$8="Checking",Setup!$B$23&lt;&gt;"Active",OR(F15="Savings",G15="Savings")),AND(T15=1,MIN(AI15:AJ15)&lt; -0.005),AND(N15="Cash only",D15&lt;&gt;"Expense"),AND(N15="Allocation only",D15&lt;&gt;"Expense")),"CHECK CASH / SCOPE","READY")))))),"CHECK INVALID INPUT")</f>
        <v>UNUSED</v>
      </c>
      <c r="R15" t="str">
        <f>IFERROR(IF(AND(C15="Historical",D15="Expense",OR(IFERROR(INDEX(Agreements!$Z$5:$Z$16,MATCH(H15,Agreements!$A$5:$A$16,0)),"MISSING")&lt;&gt;"READY",B15&lt;IFERROR(INDEX(Agreements!$C$5:$C$16,MATCH(H15,Agreements!$A$5:$A$16,0)),0),B15&gt;IFERROR(INDEX(Agreements!$D$5:$D$16,MATCH(H15,Agreements!$A$5:$A$16,0)),0))),"CHECK HISTORICAL AGREEMENT",IF(AND(C15="Confirmed",D15="Refund",AND(IFERROR(INDEX($C$5:$C$64,MATCH(I15,$A$5:$A$64,0)),"")&lt;&gt;"Confirmed",IFERROR(INDEX($C$5:$C$64,MATCH(I15,$A$5:$A$64,0)),"")&lt;&gt;"Historical")),"CHECK REFUND SOURCE STATUS",IF(COUNTA(A15:P15)=0,"UNUSED",IF(OR(C15="Expected",C15="Historical"),"NOT CURRENT",IF(C15="Disputed","DISPUTED — CLOSE PENDING",IF(N15="Cash only",IF(ABS(BD15-E15)&lt;0.005,"READY","CHECK ALLOCATION TOTAL"),IF(OR(D15="Expense",D15="Refund"),IF(OR(IFERROR(INDEX(Agreements!$Z$5:$Z$16,MATCH(H15,Agreements!$A$5:$A$16,0)),0)&lt;&gt;"READY",AND(D15="Expense",OR(B15&lt;IFERROR(INDEX(Agreements!$C$5:$C$16,MATCH(H15,Agreements!$A$5:$A$16,0)),0),B15&gt;IFERROR(INDEX(Agreements!$D$5:$D$16,MATCH(H15,Agreements!$A$5:$A$16,0)),0))),AND(D15="Refund",OR(IFERROR(INDEX($D$5:$D$64,MATCH(I15,$A$5:$A$64,0)),"")&lt;&gt;"Expense",IFERROR(INDEX($H$5:$H$64,MATCH(I15,$A$5:$A$64,0)),"")&lt;&gt;H15,SUMIFS($E$5:$E$64,$I$5:$I$64,I15,$D$5:$D$64,"Refund",$C$5:$C$64,"&lt;&gt;Expected")&gt;N(IFERROR(INDEX($E$5:$E$64,MATCH(I15,$A$5:$A$64,0)),""))+0.005,I15="")),AND(N15="Allocation only",OR(O15="",IFERROR(INDEX($F$5:$F$64,MATCH(O15,$A$5:$A$64,0)),"")&lt;&gt;F15,IFERROR(INDEX($N$5:$N$64,MATCH(O15,$A$5:$A$64,0)),"")&lt;&gt;"Cash only")),AND(Setup!$B$8="Checking",OR(F15="Savings",G15="Savings"))),"CHECK AGREEMENT / REFUND / SCOPE","READY"),"READY"))))))),"CHECK INVALID INPUT")</f>
        <v>UNUSED</v>
      </c>
      <c r="S15" t="str">
        <f t="shared" si="27"/>
        <v>UNUSED</v>
      </c>
      <c r="T15">
        <f t="shared" si="0"/>
        <v>0</v>
      </c>
      <c r="U15">
        <f t="shared" si="1"/>
        <v>0</v>
      </c>
      <c r="V15">
        <f>IFERROR(MATCH(H15,Agreements!$A$5:$A$16,0),0)</f>
        <v>0</v>
      </c>
      <c r="W15" s="6">
        <f>IF(D15="Refund",IFERROR(INDEX(Agreements!$AA$5:$AA$16,MATCH(IFERROR(INDEX($H$5:$H$64,MATCH(I15,$A$5:$A$64,0)),""),Agreements!$A$5:$A$16,0)),0),IFERROR(INDEX(Agreements!$AA$5:$AA$16,MATCH(H15,Agreements!$A$5:$A$16,0)),0))</f>
        <v>0</v>
      </c>
      <c r="X15" s="3">
        <f t="shared" si="2"/>
        <v>0</v>
      </c>
      <c r="Y15" s="3">
        <f t="shared" si="3"/>
        <v>0</v>
      </c>
      <c r="Z15" s="3">
        <f t="shared" si="4"/>
        <v>0</v>
      </c>
      <c r="AA15" s="3">
        <f t="shared" si="5"/>
        <v>0</v>
      </c>
      <c r="AB15" s="3">
        <f t="shared" si="6"/>
        <v>0</v>
      </c>
      <c r="AC15" s="3">
        <f t="shared" si="7"/>
        <v>0</v>
      </c>
      <c r="AD15" s="3">
        <f t="shared" si="8"/>
        <v>0</v>
      </c>
      <c r="AE15" s="3">
        <f t="shared" si="9"/>
        <v>0</v>
      </c>
      <c r="AF15" s="3">
        <f t="shared" si="10"/>
        <v>0</v>
      </c>
      <c r="AG15" s="3">
        <f t="shared" si="11"/>
        <v>0</v>
      </c>
      <c r="AH15" s="3">
        <f t="shared" si="12"/>
        <v>0</v>
      </c>
      <c r="AI15" s="3">
        <f>N(Setup!$B$12)+SUM(AC$5:AC15)</f>
        <v>0</v>
      </c>
      <c r="AJ15" s="3">
        <f>N(Setup!$B$18)+SUM(AD$5:AD15)</f>
        <v>0</v>
      </c>
      <c r="AK15" s="3">
        <f>N(Setup!$B$13)+SUM(AE$5:AE15)</f>
        <v>0</v>
      </c>
      <c r="AL15" s="3">
        <f>N(Setup!$B$14)+SUM(AF$5:AF15)</f>
        <v>0</v>
      </c>
      <c r="AM15" s="3">
        <f>N(Setup!$B$19)+SUM(AG$5:AG15)</f>
        <v>0</v>
      </c>
      <c r="AN15" s="3">
        <f>N(Setup!$B$20)+SUM(AH$5:AH15)</f>
        <v>0</v>
      </c>
      <c r="AO15" s="3">
        <f t="shared" si="13"/>
        <v>0</v>
      </c>
      <c r="AP15" s="3">
        <f t="shared" si="14"/>
        <v>0</v>
      </c>
      <c r="AQ15" s="3">
        <f t="shared" si="15"/>
        <v>0</v>
      </c>
      <c r="AR15" s="3">
        <f t="shared" si="16"/>
        <v>0</v>
      </c>
      <c r="AS15" s="3">
        <f t="shared" si="17"/>
        <v>0</v>
      </c>
      <c r="AT15" s="3">
        <f t="shared" si="18"/>
        <v>0</v>
      </c>
      <c r="AU15" s="3">
        <f t="shared" si="19"/>
        <v>0</v>
      </c>
      <c r="AV15" s="3">
        <f t="shared" si="20"/>
        <v>0</v>
      </c>
      <c r="AW15" s="3">
        <f t="shared" si="21"/>
        <v>0</v>
      </c>
      <c r="AX15" s="3">
        <f t="shared" si="22"/>
        <v>0</v>
      </c>
      <c r="AY15" s="3">
        <f t="shared" si="23"/>
        <v>0</v>
      </c>
      <c r="AZ15" t="b">
        <f t="shared" si="24"/>
        <v>0</v>
      </c>
      <c r="BA15" t="b">
        <f>OR(AND(F15="Checking",Setup!$B$8&lt;&gt;"None"),AND(F15="Savings",Setup!$B$8="Combined"))</f>
        <v>0</v>
      </c>
      <c r="BB15" t="b">
        <f>OR(AND(G15="Checking",Setup!$B$8&lt;&gt;"None"),AND(G15="Savings",Setup!$B$8="Combined"))</f>
        <v>0</v>
      </c>
      <c r="BC15" t="b">
        <f t="shared" si="25"/>
        <v>0</v>
      </c>
      <c r="BD15" s="3">
        <f t="shared" si="26"/>
        <v>0</v>
      </c>
    </row>
    <row r="16" spans="1:56" ht="63.95" customHeight="1" x14ac:dyDescent="0.25">
      <c r="A16" s="4"/>
      <c r="B16" s="7"/>
      <c r="C16" s="4"/>
      <c r="D16" s="4"/>
      <c r="E16" s="2"/>
      <c r="F16" s="4"/>
      <c r="G16" s="4"/>
      <c r="H16" s="4"/>
      <c r="I16" s="4"/>
      <c r="J16" s="4"/>
      <c r="K16" s="2"/>
      <c r="L16" s="2"/>
      <c r="M16" s="4"/>
      <c r="N16" s="4"/>
      <c r="O16" s="4"/>
      <c r="P16" s="4"/>
      <c r="Q16" t="str">
        <f>IFERROR(IF(AND(T16=1,SUMPRODUCT(--($B$5:B15&gt;B16),$T$5:T15)&gt;0),"CHECK CASH DATE ORDER",IF(COUNTA(A16:P16)=0,"UNUSED",IF(OR(A16="",NOT(ISNUMBER(B16)),NOT(ISNUMBER(E16)),E16&lt;0,COUNTIF($A$5:$A$64,A16)&lt;&gt;1,AND(C16&lt;&gt;"Confirmed",C16&lt;&gt;"Disputed",C16&lt;&gt;"Expected",C16&lt;&gt;"Historical"),AND(N16&lt;&gt;"Cash + allocation",N16&lt;&gt;"Cash only",N16&lt;&gt;"Allocation only"),LEN(TRIM(P16))=0),"CHECK ID / AMOUNT / STATUS",IF(C16="Expected","EXPECTED — EXCLUDED",IF(C16="Historical",IF(B16&lt;Setup!$B$6,"HISTORICAL — NO CASH","CHECK HISTORICAL DATE"),IF(OR(B16&lt;Setup!$B$6,B16&gt;Setup!$B$7,AND(D16="Expense",OR(AND(F16&lt;&gt;"A",F16&lt;&gt;"B",F16&lt;&gt;"Checking",F16&lt;&gt;"Savings"),G16&lt;&gt;"Merchant")),AND(D16="Refund",OR(F16&lt;&gt;"Merchant",AND(G16&lt;&gt;"A",G16&lt;&gt;"B",G16&lt;&gt;"Checking",G16&lt;&gt;"Savings"))),AND(D16="Contribution",OR(AND(F16&lt;&gt;"A",F16&lt;&gt;"B"),NOT(OR(G16="Checking",G16="Savings")))),AND(D16="ReturnContribution",OR(NOT(OR(F16="Checking",F16="Savings")),AND(G16&lt;&gt;"A",G16&lt;&gt;"B"))),AND(OR(D16="Settlement",D16="PersonalSupport"),OR(AND(M16&lt;&gt;"A",M16&lt;&gt;"B"),IF(M16="A",G16&lt;&gt;"B",G16&lt;&gt;"A"),AND(NOT(OR(F16="Checking",F16="Savings")),F16&lt;&gt;M16))),AND(OR(D16="InternalTransfer",D16="BoundaryTransfer"),OR(NOT(OR(F16="Checking",F16="Savings")),NOT(OR(G16="Checking",G16="Savings")),F16=G16)),AND(D16&lt;&gt;"Expense",D16&lt;&gt;"Refund",D16&lt;&gt;"Contribution",D16&lt;&gt;"ReturnContribution",D16&lt;&gt;"Settlement",D16&lt;&gt;"PersonalSupport",D16&lt;&gt;"InternalTransfer",D16&lt;&gt;"BoundaryTransfer"),AND(Setup!$B$8="None",OR(OR(F16="Checking",F16="Savings"),OR(G16="Checking",G16="Savings"))),AND(Setup!$B$8="Checking",Setup!$B$23&lt;&gt;"Active",OR(F16="Savings",G16="Savings")),AND(T16=1,MIN(AI16:AJ16)&lt; -0.005),AND(N16="Cash only",D16&lt;&gt;"Expense"),AND(N16="Allocation only",D16&lt;&gt;"Expense")),"CHECK CASH / SCOPE","READY")))))),"CHECK INVALID INPUT")</f>
        <v>UNUSED</v>
      </c>
      <c r="R16" t="str">
        <f>IFERROR(IF(AND(C16="Historical",D16="Expense",OR(IFERROR(INDEX(Agreements!$Z$5:$Z$16,MATCH(H16,Agreements!$A$5:$A$16,0)),"MISSING")&lt;&gt;"READY",B16&lt;IFERROR(INDEX(Agreements!$C$5:$C$16,MATCH(H16,Agreements!$A$5:$A$16,0)),0),B16&gt;IFERROR(INDEX(Agreements!$D$5:$D$16,MATCH(H16,Agreements!$A$5:$A$16,0)),0))),"CHECK HISTORICAL AGREEMENT",IF(AND(C16="Confirmed",D16="Refund",AND(IFERROR(INDEX($C$5:$C$64,MATCH(I16,$A$5:$A$64,0)),"")&lt;&gt;"Confirmed",IFERROR(INDEX($C$5:$C$64,MATCH(I16,$A$5:$A$64,0)),"")&lt;&gt;"Historical")),"CHECK REFUND SOURCE STATUS",IF(COUNTA(A16:P16)=0,"UNUSED",IF(OR(C16="Expected",C16="Historical"),"NOT CURRENT",IF(C16="Disputed","DISPUTED — CLOSE PENDING",IF(N16="Cash only",IF(ABS(BD16-E16)&lt;0.005,"READY","CHECK ALLOCATION TOTAL"),IF(OR(D16="Expense",D16="Refund"),IF(OR(IFERROR(INDEX(Agreements!$Z$5:$Z$16,MATCH(H16,Agreements!$A$5:$A$16,0)),0)&lt;&gt;"READY",AND(D16="Expense",OR(B16&lt;IFERROR(INDEX(Agreements!$C$5:$C$16,MATCH(H16,Agreements!$A$5:$A$16,0)),0),B16&gt;IFERROR(INDEX(Agreements!$D$5:$D$16,MATCH(H16,Agreements!$A$5:$A$16,0)),0))),AND(D16="Refund",OR(IFERROR(INDEX($D$5:$D$64,MATCH(I16,$A$5:$A$64,0)),"")&lt;&gt;"Expense",IFERROR(INDEX($H$5:$H$64,MATCH(I16,$A$5:$A$64,0)),"")&lt;&gt;H16,SUMIFS($E$5:$E$64,$I$5:$I$64,I16,$D$5:$D$64,"Refund",$C$5:$C$64,"&lt;&gt;Expected")&gt;N(IFERROR(INDEX($E$5:$E$64,MATCH(I16,$A$5:$A$64,0)),""))+0.005,I16="")),AND(N16="Allocation only",OR(O16="",IFERROR(INDEX($F$5:$F$64,MATCH(O16,$A$5:$A$64,0)),"")&lt;&gt;F16,IFERROR(INDEX($N$5:$N$64,MATCH(O16,$A$5:$A$64,0)),"")&lt;&gt;"Cash only")),AND(Setup!$B$8="Checking",OR(F16="Savings",G16="Savings"))),"CHECK AGREEMENT / REFUND / SCOPE","READY"),"READY"))))))),"CHECK INVALID INPUT")</f>
        <v>UNUSED</v>
      </c>
      <c r="S16" t="str">
        <f t="shared" si="27"/>
        <v>UNUSED</v>
      </c>
      <c r="T16">
        <f t="shared" si="0"/>
        <v>0</v>
      </c>
      <c r="U16">
        <f t="shared" si="1"/>
        <v>0</v>
      </c>
      <c r="V16">
        <f>IFERROR(MATCH(H16,Agreements!$A$5:$A$16,0),0)</f>
        <v>0</v>
      </c>
      <c r="W16" s="6">
        <f>IF(D16="Refund",IFERROR(INDEX(Agreements!$AA$5:$AA$16,MATCH(IFERROR(INDEX($H$5:$H$64,MATCH(I16,$A$5:$A$64,0)),""),Agreements!$A$5:$A$16,0)),0),IFERROR(INDEX(Agreements!$AA$5:$AA$16,MATCH(H16,Agreements!$A$5:$A$16,0)),0))</f>
        <v>0</v>
      </c>
      <c r="X16" s="3">
        <f t="shared" si="2"/>
        <v>0</v>
      </c>
      <c r="Y16" s="3">
        <f t="shared" si="3"/>
        <v>0</v>
      </c>
      <c r="Z16" s="3">
        <f t="shared" si="4"/>
        <v>0</v>
      </c>
      <c r="AA16" s="3">
        <f t="shared" si="5"/>
        <v>0</v>
      </c>
      <c r="AB16" s="3">
        <f t="shared" si="6"/>
        <v>0</v>
      </c>
      <c r="AC16" s="3">
        <f t="shared" si="7"/>
        <v>0</v>
      </c>
      <c r="AD16" s="3">
        <f t="shared" si="8"/>
        <v>0</v>
      </c>
      <c r="AE16" s="3">
        <f t="shared" si="9"/>
        <v>0</v>
      </c>
      <c r="AF16" s="3">
        <f t="shared" si="10"/>
        <v>0</v>
      </c>
      <c r="AG16" s="3">
        <f t="shared" si="11"/>
        <v>0</v>
      </c>
      <c r="AH16" s="3">
        <f t="shared" si="12"/>
        <v>0</v>
      </c>
      <c r="AI16" s="3">
        <f>N(Setup!$B$12)+SUM(AC$5:AC16)</f>
        <v>0</v>
      </c>
      <c r="AJ16" s="3">
        <f>N(Setup!$B$18)+SUM(AD$5:AD16)</f>
        <v>0</v>
      </c>
      <c r="AK16" s="3">
        <f>N(Setup!$B$13)+SUM(AE$5:AE16)</f>
        <v>0</v>
      </c>
      <c r="AL16" s="3">
        <f>N(Setup!$B$14)+SUM(AF$5:AF16)</f>
        <v>0</v>
      </c>
      <c r="AM16" s="3">
        <f>N(Setup!$B$19)+SUM(AG$5:AG16)</f>
        <v>0</v>
      </c>
      <c r="AN16" s="3">
        <f>N(Setup!$B$20)+SUM(AH$5:AH16)</f>
        <v>0</v>
      </c>
      <c r="AO16" s="3">
        <f t="shared" si="13"/>
        <v>0</v>
      </c>
      <c r="AP16" s="3">
        <f t="shared" si="14"/>
        <v>0</v>
      </c>
      <c r="AQ16" s="3">
        <f t="shared" si="15"/>
        <v>0</v>
      </c>
      <c r="AR16" s="3">
        <f t="shared" si="16"/>
        <v>0</v>
      </c>
      <c r="AS16" s="3">
        <f t="shared" si="17"/>
        <v>0</v>
      </c>
      <c r="AT16" s="3">
        <f t="shared" si="18"/>
        <v>0</v>
      </c>
      <c r="AU16" s="3">
        <f t="shared" si="19"/>
        <v>0</v>
      </c>
      <c r="AV16" s="3">
        <f t="shared" si="20"/>
        <v>0</v>
      </c>
      <c r="AW16" s="3">
        <f t="shared" si="21"/>
        <v>0</v>
      </c>
      <c r="AX16" s="3">
        <f t="shared" si="22"/>
        <v>0</v>
      </c>
      <c r="AY16" s="3">
        <f t="shared" si="23"/>
        <v>0</v>
      </c>
      <c r="AZ16" t="b">
        <f t="shared" si="24"/>
        <v>0</v>
      </c>
      <c r="BA16" t="b">
        <f>OR(AND(F16="Checking",Setup!$B$8&lt;&gt;"None"),AND(F16="Savings",Setup!$B$8="Combined"))</f>
        <v>0</v>
      </c>
      <c r="BB16" t="b">
        <f>OR(AND(G16="Checking",Setup!$B$8&lt;&gt;"None"),AND(G16="Savings",Setup!$B$8="Combined"))</f>
        <v>0</v>
      </c>
      <c r="BC16" t="b">
        <f t="shared" si="25"/>
        <v>0</v>
      </c>
      <c r="BD16" s="3">
        <f t="shared" si="26"/>
        <v>0</v>
      </c>
    </row>
    <row r="17" spans="1:56" ht="63.95" customHeight="1" x14ac:dyDescent="0.25">
      <c r="A17" s="4"/>
      <c r="B17" s="7"/>
      <c r="C17" s="4"/>
      <c r="D17" s="4"/>
      <c r="E17" s="2"/>
      <c r="F17" s="4"/>
      <c r="G17" s="4"/>
      <c r="H17" s="4"/>
      <c r="I17" s="4"/>
      <c r="J17" s="4"/>
      <c r="K17" s="2"/>
      <c r="L17" s="2"/>
      <c r="M17" s="4"/>
      <c r="N17" s="4"/>
      <c r="O17" s="4"/>
      <c r="P17" s="4"/>
      <c r="Q17" t="str">
        <f>IFERROR(IF(AND(T17=1,SUMPRODUCT(--($B$5:B16&gt;B17),$T$5:T16)&gt;0),"CHECK CASH DATE ORDER",IF(COUNTA(A17:P17)=0,"UNUSED",IF(OR(A17="",NOT(ISNUMBER(B17)),NOT(ISNUMBER(E17)),E17&lt;0,COUNTIF($A$5:$A$64,A17)&lt;&gt;1,AND(C17&lt;&gt;"Confirmed",C17&lt;&gt;"Disputed",C17&lt;&gt;"Expected",C17&lt;&gt;"Historical"),AND(N17&lt;&gt;"Cash + allocation",N17&lt;&gt;"Cash only",N17&lt;&gt;"Allocation only"),LEN(TRIM(P17))=0),"CHECK ID / AMOUNT / STATUS",IF(C17="Expected","EXPECTED — EXCLUDED",IF(C17="Historical",IF(B17&lt;Setup!$B$6,"HISTORICAL — NO CASH","CHECK HISTORICAL DATE"),IF(OR(B17&lt;Setup!$B$6,B17&gt;Setup!$B$7,AND(D17="Expense",OR(AND(F17&lt;&gt;"A",F17&lt;&gt;"B",F17&lt;&gt;"Checking",F17&lt;&gt;"Savings"),G17&lt;&gt;"Merchant")),AND(D17="Refund",OR(F17&lt;&gt;"Merchant",AND(G17&lt;&gt;"A",G17&lt;&gt;"B",G17&lt;&gt;"Checking",G17&lt;&gt;"Savings"))),AND(D17="Contribution",OR(AND(F17&lt;&gt;"A",F17&lt;&gt;"B"),NOT(OR(G17="Checking",G17="Savings")))),AND(D17="ReturnContribution",OR(NOT(OR(F17="Checking",F17="Savings")),AND(G17&lt;&gt;"A",G17&lt;&gt;"B"))),AND(OR(D17="Settlement",D17="PersonalSupport"),OR(AND(M17&lt;&gt;"A",M17&lt;&gt;"B"),IF(M17="A",G17&lt;&gt;"B",G17&lt;&gt;"A"),AND(NOT(OR(F17="Checking",F17="Savings")),F17&lt;&gt;M17))),AND(OR(D17="InternalTransfer",D17="BoundaryTransfer"),OR(NOT(OR(F17="Checking",F17="Savings")),NOT(OR(G17="Checking",G17="Savings")),F17=G17)),AND(D17&lt;&gt;"Expense",D17&lt;&gt;"Refund",D17&lt;&gt;"Contribution",D17&lt;&gt;"ReturnContribution",D17&lt;&gt;"Settlement",D17&lt;&gt;"PersonalSupport",D17&lt;&gt;"InternalTransfer",D17&lt;&gt;"BoundaryTransfer"),AND(Setup!$B$8="None",OR(OR(F17="Checking",F17="Savings"),OR(G17="Checking",G17="Savings"))),AND(Setup!$B$8="Checking",Setup!$B$23&lt;&gt;"Active",OR(F17="Savings",G17="Savings")),AND(T17=1,MIN(AI17:AJ17)&lt; -0.005),AND(N17="Cash only",D17&lt;&gt;"Expense"),AND(N17="Allocation only",D17&lt;&gt;"Expense")),"CHECK CASH / SCOPE","READY")))))),"CHECK INVALID INPUT")</f>
        <v>UNUSED</v>
      </c>
      <c r="R17" t="str">
        <f>IFERROR(IF(AND(C17="Historical",D17="Expense",OR(IFERROR(INDEX(Agreements!$Z$5:$Z$16,MATCH(H17,Agreements!$A$5:$A$16,0)),"MISSING")&lt;&gt;"READY",B17&lt;IFERROR(INDEX(Agreements!$C$5:$C$16,MATCH(H17,Agreements!$A$5:$A$16,0)),0),B17&gt;IFERROR(INDEX(Agreements!$D$5:$D$16,MATCH(H17,Agreements!$A$5:$A$16,0)),0))),"CHECK HISTORICAL AGREEMENT",IF(AND(C17="Confirmed",D17="Refund",AND(IFERROR(INDEX($C$5:$C$64,MATCH(I17,$A$5:$A$64,0)),"")&lt;&gt;"Confirmed",IFERROR(INDEX($C$5:$C$64,MATCH(I17,$A$5:$A$64,0)),"")&lt;&gt;"Historical")),"CHECK REFUND SOURCE STATUS",IF(COUNTA(A17:P17)=0,"UNUSED",IF(OR(C17="Expected",C17="Historical"),"NOT CURRENT",IF(C17="Disputed","DISPUTED — CLOSE PENDING",IF(N17="Cash only",IF(ABS(BD17-E17)&lt;0.005,"READY","CHECK ALLOCATION TOTAL"),IF(OR(D17="Expense",D17="Refund"),IF(OR(IFERROR(INDEX(Agreements!$Z$5:$Z$16,MATCH(H17,Agreements!$A$5:$A$16,0)),0)&lt;&gt;"READY",AND(D17="Expense",OR(B17&lt;IFERROR(INDEX(Agreements!$C$5:$C$16,MATCH(H17,Agreements!$A$5:$A$16,0)),0),B17&gt;IFERROR(INDEX(Agreements!$D$5:$D$16,MATCH(H17,Agreements!$A$5:$A$16,0)),0))),AND(D17="Refund",OR(IFERROR(INDEX($D$5:$D$64,MATCH(I17,$A$5:$A$64,0)),"")&lt;&gt;"Expense",IFERROR(INDEX($H$5:$H$64,MATCH(I17,$A$5:$A$64,0)),"")&lt;&gt;H17,SUMIFS($E$5:$E$64,$I$5:$I$64,I17,$D$5:$D$64,"Refund",$C$5:$C$64,"&lt;&gt;Expected")&gt;N(IFERROR(INDEX($E$5:$E$64,MATCH(I17,$A$5:$A$64,0)),""))+0.005,I17="")),AND(N17="Allocation only",OR(O17="",IFERROR(INDEX($F$5:$F$64,MATCH(O17,$A$5:$A$64,0)),"")&lt;&gt;F17,IFERROR(INDEX($N$5:$N$64,MATCH(O17,$A$5:$A$64,0)),"")&lt;&gt;"Cash only")),AND(Setup!$B$8="Checking",OR(F17="Savings",G17="Savings"))),"CHECK AGREEMENT / REFUND / SCOPE","READY"),"READY"))))))),"CHECK INVALID INPUT")</f>
        <v>UNUSED</v>
      </c>
      <c r="S17" t="str">
        <f t="shared" si="27"/>
        <v>UNUSED</v>
      </c>
      <c r="T17">
        <f t="shared" si="0"/>
        <v>0</v>
      </c>
      <c r="U17">
        <f t="shared" si="1"/>
        <v>0</v>
      </c>
      <c r="V17">
        <f>IFERROR(MATCH(H17,Agreements!$A$5:$A$16,0),0)</f>
        <v>0</v>
      </c>
      <c r="W17" s="6">
        <f>IF(D17="Refund",IFERROR(INDEX(Agreements!$AA$5:$AA$16,MATCH(IFERROR(INDEX($H$5:$H$64,MATCH(I17,$A$5:$A$64,0)),""),Agreements!$A$5:$A$16,0)),0),IFERROR(INDEX(Agreements!$AA$5:$AA$16,MATCH(H17,Agreements!$A$5:$A$16,0)),0))</f>
        <v>0</v>
      </c>
      <c r="X17" s="3">
        <f t="shared" si="2"/>
        <v>0</v>
      </c>
      <c r="Y17" s="3">
        <f t="shared" si="3"/>
        <v>0</v>
      </c>
      <c r="Z17" s="3">
        <f t="shared" si="4"/>
        <v>0</v>
      </c>
      <c r="AA17" s="3">
        <f t="shared" si="5"/>
        <v>0</v>
      </c>
      <c r="AB17" s="3">
        <f t="shared" si="6"/>
        <v>0</v>
      </c>
      <c r="AC17" s="3">
        <f t="shared" si="7"/>
        <v>0</v>
      </c>
      <c r="AD17" s="3">
        <f t="shared" si="8"/>
        <v>0</v>
      </c>
      <c r="AE17" s="3">
        <f t="shared" si="9"/>
        <v>0</v>
      </c>
      <c r="AF17" s="3">
        <f t="shared" si="10"/>
        <v>0</v>
      </c>
      <c r="AG17" s="3">
        <f t="shared" si="11"/>
        <v>0</v>
      </c>
      <c r="AH17" s="3">
        <f t="shared" si="12"/>
        <v>0</v>
      </c>
      <c r="AI17" s="3">
        <f>N(Setup!$B$12)+SUM(AC$5:AC17)</f>
        <v>0</v>
      </c>
      <c r="AJ17" s="3">
        <f>N(Setup!$B$18)+SUM(AD$5:AD17)</f>
        <v>0</v>
      </c>
      <c r="AK17" s="3">
        <f>N(Setup!$B$13)+SUM(AE$5:AE17)</f>
        <v>0</v>
      </c>
      <c r="AL17" s="3">
        <f>N(Setup!$B$14)+SUM(AF$5:AF17)</f>
        <v>0</v>
      </c>
      <c r="AM17" s="3">
        <f>N(Setup!$B$19)+SUM(AG$5:AG17)</f>
        <v>0</v>
      </c>
      <c r="AN17" s="3">
        <f>N(Setup!$B$20)+SUM(AH$5:AH17)</f>
        <v>0</v>
      </c>
      <c r="AO17" s="3">
        <f t="shared" si="13"/>
        <v>0</v>
      </c>
      <c r="AP17" s="3">
        <f t="shared" si="14"/>
        <v>0</v>
      </c>
      <c r="AQ17" s="3">
        <f t="shared" si="15"/>
        <v>0</v>
      </c>
      <c r="AR17" s="3">
        <f t="shared" si="16"/>
        <v>0</v>
      </c>
      <c r="AS17" s="3">
        <f t="shared" si="17"/>
        <v>0</v>
      </c>
      <c r="AT17" s="3">
        <f t="shared" si="18"/>
        <v>0</v>
      </c>
      <c r="AU17" s="3">
        <f t="shared" si="19"/>
        <v>0</v>
      </c>
      <c r="AV17" s="3">
        <f t="shared" si="20"/>
        <v>0</v>
      </c>
      <c r="AW17" s="3">
        <f t="shared" si="21"/>
        <v>0</v>
      </c>
      <c r="AX17" s="3">
        <f t="shared" si="22"/>
        <v>0</v>
      </c>
      <c r="AY17" s="3">
        <f t="shared" si="23"/>
        <v>0</v>
      </c>
      <c r="AZ17" t="b">
        <f t="shared" si="24"/>
        <v>0</v>
      </c>
      <c r="BA17" t="b">
        <f>OR(AND(F17="Checking",Setup!$B$8&lt;&gt;"None"),AND(F17="Savings",Setup!$B$8="Combined"))</f>
        <v>0</v>
      </c>
      <c r="BB17" t="b">
        <f>OR(AND(G17="Checking",Setup!$B$8&lt;&gt;"None"),AND(G17="Savings",Setup!$B$8="Combined"))</f>
        <v>0</v>
      </c>
      <c r="BC17" t="b">
        <f t="shared" si="25"/>
        <v>0</v>
      </c>
      <c r="BD17" s="3">
        <f t="shared" si="26"/>
        <v>0</v>
      </c>
    </row>
    <row r="18" spans="1:56" ht="63.95" customHeight="1" x14ac:dyDescent="0.25">
      <c r="A18" s="4"/>
      <c r="B18" s="7"/>
      <c r="C18" s="4"/>
      <c r="D18" s="4"/>
      <c r="E18" s="2"/>
      <c r="F18" s="4"/>
      <c r="G18" s="4"/>
      <c r="H18" s="4"/>
      <c r="I18" s="4"/>
      <c r="J18" s="4"/>
      <c r="K18" s="2"/>
      <c r="L18" s="2"/>
      <c r="M18" s="4"/>
      <c r="N18" s="4"/>
      <c r="O18" s="4"/>
      <c r="P18" s="4"/>
      <c r="Q18" t="str">
        <f>IFERROR(IF(AND(T18=1,SUMPRODUCT(--($B$5:B17&gt;B18),$T$5:T17)&gt;0),"CHECK CASH DATE ORDER",IF(COUNTA(A18:P18)=0,"UNUSED",IF(OR(A18="",NOT(ISNUMBER(B18)),NOT(ISNUMBER(E18)),E18&lt;0,COUNTIF($A$5:$A$64,A18)&lt;&gt;1,AND(C18&lt;&gt;"Confirmed",C18&lt;&gt;"Disputed",C18&lt;&gt;"Expected",C18&lt;&gt;"Historical"),AND(N18&lt;&gt;"Cash + allocation",N18&lt;&gt;"Cash only",N18&lt;&gt;"Allocation only"),LEN(TRIM(P18))=0),"CHECK ID / AMOUNT / STATUS",IF(C18="Expected","EXPECTED — EXCLUDED",IF(C18="Historical",IF(B18&lt;Setup!$B$6,"HISTORICAL — NO CASH","CHECK HISTORICAL DATE"),IF(OR(B18&lt;Setup!$B$6,B18&gt;Setup!$B$7,AND(D18="Expense",OR(AND(F18&lt;&gt;"A",F18&lt;&gt;"B",F18&lt;&gt;"Checking",F18&lt;&gt;"Savings"),G18&lt;&gt;"Merchant")),AND(D18="Refund",OR(F18&lt;&gt;"Merchant",AND(G18&lt;&gt;"A",G18&lt;&gt;"B",G18&lt;&gt;"Checking",G18&lt;&gt;"Savings"))),AND(D18="Contribution",OR(AND(F18&lt;&gt;"A",F18&lt;&gt;"B"),NOT(OR(G18="Checking",G18="Savings")))),AND(D18="ReturnContribution",OR(NOT(OR(F18="Checking",F18="Savings")),AND(G18&lt;&gt;"A",G18&lt;&gt;"B"))),AND(OR(D18="Settlement",D18="PersonalSupport"),OR(AND(M18&lt;&gt;"A",M18&lt;&gt;"B"),IF(M18="A",G18&lt;&gt;"B",G18&lt;&gt;"A"),AND(NOT(OR(F18="Checking",F18="Savings")),F18&lt;&gt;M18))),AND(OR(D18="InternalTransfer",D18="BoundaryTransfer"),OR(NOT(OR(F18="Checking",F18="Savings")),NOT(OR(G18="Checking",G18="Savings")),F18=G18)),AND(D18&lt;&gt;"Expense",D18&lt;&gt;"Refund",D18&lt;&gt;"Contribution",D18&lt;&gt;"ReturnContribution",D18&lt;&gt;"Settlement",D18&lt;&gt;"PersonalSupport",D18&lt;&gt;"InternalTransfer",D18&lt;&gt;"BoundaryTransfer"),AND(Setup!$B$8="None",OR(OR(F18="Checking",F18="Savings"),OR(G18="Checking",G18="Savings"))),AND(Setup!$B$8="Checking",Setup!$B$23&lt;&gt;"Active",OR(F18="Savings",G18="Savings")),AND(T18=1,MIN(AI18:AJ18)&lt; -0.005),AND(N18="Cash only",D18&lt;&gt;"Expense"),AND(N18="Allocation only",D18&lt;&gt;"Expense")),"CHECK CASH / SCOPE","READY")))))),"CHECK INVALID INPUT")</f>
        <v>UNUSED</v>
      </c>
      <c r="R18" t="str">
        <f>IFERROR(IF(AND(C18="Historical",D18="Expense",OR(IFERROR(INDEX(Agreements!$Z$5:$Z$16,MATCH(H18,Agreements!$A$5:$A$16,0)),"MISSING")&lt;&gt;"READY",B18&lt;IFERROR(INDEX(Agreements!$C$5:$C$16,MATCH(H18,Agreements!$A$5:$A$16,0)),0),B18&gt;IFERROR(INDEX(Agreements!$D$5:$D$16,MATCH(H18,Agreements!$A$5:$A$16,0)),0))),"CHECK HISTORICAL AGREEMENT",IF(AND(C18="Confirmed",D18="Refund",AND(IFERROR(INDEX($C$5:$C$64,MATCH(I18,$A$5:$A$64,0)),"")&lt;&gt;"Confirmed",IFERROR(INDEX($C$5:$C$64,MATCH(I18,$A$5:$A$64,0)),"")&lt;&gt;"Historical")),"CHECK REFUND SOURCE STATUS",IF(COUNTA(A18:P18)=0,"UNUSED",IF(OR(C18="Expected",C18="Historical"),"NOT CURRENT",IF(C18="Disputed","DISPUTED — CLOSE PENDING",IF(N18="Cash only",IF(ABS(BD18-E18)&lt;0.005,"READY","CHECK ALLOCATION TOTAL"),IF(OR(D18="Expense",D18="Refund"),IF(OR(IFERROR(INDEX(Agreements!$Z$5:$Z$16,MATCH(H18,Agreements!$A$5:$A$16,0)),0)&lt;&gt;"READY",AND(D18="Expense",OR(B18&lt;IFERROR(INDEX(Agreements!$C$5:$C$16,MATCH(H18,Agreements!$A$5:$A$16,0)),0),B18&gt;IFERROR(INDEX(Agreements!$D$5:$D$16,MATCH(H18,Agreements!$A$5:$A$16,0)),0))),AND(D18="Refund",OR(IFERROR(INDEX($D$5:$D$64,MATCH(I18,$A$5:$A$64,0)),"")&lt;&gt;"Expense",IFERROR(INDEX($H$5:$H$64,MATCH(I18,$A$5:$A$64,0)),"")&lt;&gt;H18,SUMIFS($E$5:$E$64,$I$5:$I$64,I18,$D$5:$D$64,"Refund",$C$5:$C$64,"&lt;&gt;Expected")&gt;N(IFERROR(INDEX($E$5:$E$64,MATCH(I18,$A$5:$A$64,0)),""))+0.005,I18="")),AND(N18="Allocation only",OR(O18="",IFERROR(INDEX($F$5:$F$64,MATCH(O18,$A$5:$A$64,0)),"")&lt;&gt;F18,IFERROR(INDEX($N$5:$N$64,MATCH(O18,$A$5:$A$64,0)),"")&lt;&gt;"Cash only")),AND(Setup!$B$8="Checking",OR(F18="Savings",G18="Savings"))),"CHECK AGREEMENT / REFUND / SCOPE","READY"),"READY"))))))),"CHECK INVALID INPUT")</f>
        <v>UNUSED</v>
      </c>
      <c r="S18" t="str">
        <f t="shared" si="27"/>
        <v>UNUSED</v>
      </c>
      <c r="T18">
        <f t="shared" si="0"/>
        <v>0</v>
      </c>
      <c r="U18">
        <f t="shared" si="1"/>
        <v>0</v>
      </c>
      <c r="V18">
        <f>IFERROR(MATCH(H18,Agreements!$A$5:$A$16,0),0)</f>
        <v>0</v>
      </c>
      <c r="W18" s="6">
        <f>IF(D18="Refund",IFERROR(INDEX(Agreements!$AA$5:$AA$16,MATCH(IFERROR(INDEX($H$5:$H$64,MATCH(I18,$A$5:$A$64,0)),""),Agreements!$A$5:$A$16,0)),0),IFERROR(INDEX(Agreements!$AA$5:$AA$16,MATCH(H18,Agreements!$A$5:$A$16,0)),0))</f>
        <v>0</v>
      </c>
      <c r="X18" s="3">
        <f t="shared" si="2"/>
        <v>0</v>
      </c>
      <c r="Y18" s="3">
        <f t="shared" si="3"/>
        <v>0</v>
      </c>
      <c r="Z18" s="3">
        <f t="shared" si="4"/>
        <v>0</v>
      </c>
      <c r="AA18" s="3">
        <f t="shared" si="5"/>
        <v>0</v>
      </c>
      <c r="AB18" s="3">
        <f t="shared" si="6"/>
        <v>0</v>
      </c>
      <c r="AC18" s="3">
        <f t="shared" si="7"/>
        <v>0</v>
      </c>
      <c r="AD18" s="3">
        <f t="shared" si="8"/>
        <v>0</v>
      </c>
      <c r="AE18" s="3">
        <f t="shared" si="9"/>
        <v>0</v>
      </c>
      <c r="AF18" s="3">
        <f t="shared" si="10"/>
        <v>0</v>
      </c>
      <c r="AG18" s="3">
        <f t="shared" si="11"/>
        <v>0</v>
      </c>
      <c r="AH18" s="3">
        <f t="shared" si="12"/>
        <v>0</v>
      </c>
      <c r="AI18" s="3">
        <f>N(Setup!$B$12)+SUM(AC$5:AC18)</f>
        <v>0</v>
      </c>
      <c r="AJ18" s="3">
        <f>N(Setup!$B$18)+SUM(AD$5:AD18)</f>
        <v>0</v>
      </c>
      <c r="AK18" s="3">
        <f>N(Setup!$B$13)+SUM(AE$5:AE18)</f>
        <v>0</v>
      </c>
      <c r="AL18" s="3">
        <f>N(Setup!$B$14)+SUM(AF$5:AF18)</f>
        <v>0</v>
      </c>
      <c r="AM18" s="3">
        <f>N(Setup!$B$19)+SUM(AG$5:AG18)</f>
        <v>0</v>
      </c>
      <c r="AN18" s="3">
        <f>N(Setup!$B$20)+SUM(AH$5:AH18)</f>
        <v>0</v>
      </c>
      <c r="AO18" s="3">
        <f t="shared" si="13"/>
        <v>0</v>
      </c>
      <c r="AP18" s="3">
        <f t="shared" si="14"/>
        <v>0</v>
      </c>
      <c r="AQ18" s="3">
        <f t="shared" si="15"/>
        <v>0</v>
      </c>
      <c r="AR18" s="3">
        <f t="shared" si="16"/>
        <v>0</v>
      </c>
      <c r="AS18" s="3">
        <f t="shared" si="17"/>
        <v>0</v>
      </c>
      <c r="AT18" s="3">
        <f t="shared" si="18"/>
        <v>0</v>
      </c>
      <c r="AU18" s="3">
        <f t="shared" si="19"/>
        <v>0</v>
      </c>
      <c r="AV18" s="3">
        <f t="shared" si="20"/>
        <v>0</v>
      </c>
      <c r="AW18" s="3">
        <f t="shared" si="21"/>
        <v>0</v>
      </c>
      <c r="AX18" s="3">
        <f t="shared" si="22"/>
        <v>0</v>
      </c>
      <c r="AY18" s="3">
        <f t="shared" si="23"/>
        <v>0</v>
      </c>
      <c r="AZ18" t="b">
        <f t="shared" si="24"/>
        <v>0</v>
      </c>
      <c r="BA18" t="b">
        <f>OR(AND(F18="Checking",Setup!$B$8&lt;&gt;"None"),AND(F18="Savings",Setup!$B$8="Combined"))</f>
        <v>0</v>
      </c>
      <c r="BB18" t="b">
        <f>OR(AND(G18="Checking",Setup!$B$8&lt;&gt;"None"),AND(G18="Savings",Setup!$B$8="Combined"))</f>
        <v>0</v>
      </c>
      <c r="BC18" t="b">
        <f t="shared" si="25"/>
        <v>0</v>
      </c>
      <c r="BD18" s="3">
        <f t="shared" si="26"/>
        <v>0</v>
      </c>
    </row>
    <row r="19" spans="1:56" ht="63.95" customHeight="1" x14ac:dyDescent="0.25">
      <c r="A19" s="4"/>
      <c r="B19" s="7"/>
      <c r="C19" s="4"/>
      <c r="D19" s="4"/>
      <c r="E19" s="2"/>
      <c r="F19" s="4"/>
      <c r="G19" s="4"/>
      <c r="H19" s="4"/>
      <c r="I19" s="4"/>
      <c r="J19" s="4"/>
      <c r="K19" s="2"/>
      <c r="L19" s="2"/>
      <c r="M19" s="4"/>
      <c r="N19" s="4"/>
      <c r="O19" s="4"/>
      <c r="P19" s="4"/>
      <c r="Q19" t="str">
        <f>IFERROR(IF(AND(T19=1,SUMPRODUCT(--($B$5:B18&gt;B19),$T$5:T18)&gt;0),"CHECK CASH DATE ORDER",IF(COUNTA(A19:P19)=0,"UNUSED",IF(OR(A19="",NOT(ISNUMBER(B19)),NOT(ISNUMBER(E19)),E19&lt;0,COUNTIF($A$5:$A$64,A19)&lt;&gt;1,AND(C19&lt;&gt;"Confirmed",C19&lt;&gt;"Disputed",C19&lt;&gt;"Expected",C19&lt;&gt;"Historical"),AND(N19&lt;&gt;"Cash + allocation",N19&lt;&gt;"Cash only",N19&lt;&gt;"Allocation only"),LEN(TRIM(P19))=0),"CHECK ID / AMOUNT / STATUS",IF(C19="Expected","EXPECTED — EXCLUDED",IF(C19="Historical",IF(B19&lt;Setup!$B$6,"HISTORICAL — NO CASH","CHECK HISTORICAL DATE"),IF(OR(B19&lt;Setup!$B$6,B19&gt;Setup!$B$7,AND(D19="Expense",OR(AND(F19&lt;&gt;"A",F19&lt;&gt;"B",F19&lt;&gt;"Checking",F19&lt;&gt;"Savings"),G19&lt;&gt;"Merchant")),AND(D19="Refund",OR(F19&lt;&gt;"Merchant",AND(G19&lt;&gt;"A",G19&lt;&gt;"B",G19&lt;&gt;"Checking",G19&lt;&gt;"Savings"))),AND(D19="Contribution",OR(AND(F19&lt;&gt;"A",F19&lt;&gt;"B"),NOT(OR(G19="Checking",G19="Savings")))),AND(D19="ReturnContribution",OR(NOT(OR(F19="Checking",F19="Savings")),AND(G19&lt;&gt;"A",G19&lt;&gt;"B"))),AND(OR(D19="Settlement",D19="PersonalSupport"),OR(AND(M19&lt;&gt;"A",M19&lt;&gt;"B"),IF(M19="A",G19&lt;&gt;"B",G19&lt;&gt;"A"),AND(NOT(OR(F19="Checking",F19="Savings")),F19&lt;&gt;M19))),AND(OR(D19="InternalTransfer",D19="BoundaryTransfer"),OR(NOT(OR(F19="Checking",F19="Savings")),NOT(OR(G19="Checking",G19="Savings")),F19=G19)),AND(D19&lt;&gt;"Expense",D19&lt;&gt;"Refund",D19&lt;&gt;"Contribution",D19&lt;&gt;"ReturnContribution",D19&lt;&gt;"Settlement",D19&lt;&gt;"PersonalSupport",D19&lt;&gt;"InternalTransfer",D19&lt;&gt;"BoundaryTransfer"),AND(Setup!$B$8="None",OR(OR(F19="Checking",F19="Savings"),OR(G19="Checking",G19="Savings"))),AND(Setup!$B$8="Checking",Setup!$B$23&lt;&gt;"Active",OR(F19="Savings",G19="Savings")),AND(T19=1,MIN(AI19:AJ19)&lt; -0.005),AND(N19="Cash only",D19&lt;&gt;"Expense"),AND(N19="Allocation only",D19&lt;&gt;"Expense")),"CHECK CASH / SCOPE","READY")))))),"CHECK INVALID INPUT")</f>
        <v>UNUSED</v>
      </c>
      <c r="R19" t="str">
        <f>IFERROR(IF(AND(C19="Historical",D19="Expense",OR(IFERROR(INDEX(Agreements!$Z$5:$Z$16,MATCH(H19,Agreements!$A$5:$A$16,0)),"MISSING")&lt;&gt;"READY",B19&lt;IFERROR(INDEX(Agreements!$C$5:$C$16,MATCH(H19,Agreements!$A$5:$A$16,0)),0),B19&gt;IFERROR(INDEX(Agreements!$D$5:$D$16,MATCH(H19,Agreements!$A$5:$A$16,0)),0))),"CHECK HISTORICAL AGREEMENT",IF(AND(C19="Confirmed",D19="Refund",AND(IFERROR(INDEX($C$5:$C$64,MATCH(I19,$A$5:$A$64,0)),"")&lt;&gt;"Confirmed",IFERROR(INDEX($C$5:$C$64,MATCH(I19,$A$5:$A$64,0)),"")&lt;&gt;"Historical")),"CHECK REFUND SOURCE STATUS",IF(COUNTA(A19:P19)=0,"UNUSED",IF(OR(C19="Expected",C19="Historical"),"NOT CURRENT",IF(C19="Disputed","DISPUTED — CLOSE PENDING",IF(N19="Cash only",IF(ABS(BD19-E19)&lt;0.005,"READY","CHECK ALLOCATION TOTAL"),IF(OR(D19="Expense",D19="Refund"),IF(OR(IFERROR(INDEX(Agreements!$Z$5:$Z$16,MATCH(H19,Agreements!$A$5:$A$16,0)),0)&lt;&gt;"READY",AND(D19="Expense",OR(B19&lt;IFERROR(INDEX(Agreements!$C$5:$C$16,MATCH(H19,Agreements!$A$5:$A$16,0)),0),B19&gt;IFERROR(INDEX(Agreements!$D$5:$D$16,MATCH(H19,Agreements!$A$5:$A$16,0)),0))),AND(D19="Refund",OR(IFERROR(INDEX($D$5:$D$64,MATCH(I19,$A$5:$A$64,0)),"")&lt;&gt;"Expense",IFERROR(INDEX($H$5:$H$64,MATCH(I19,$A$5:$A$64,0)),"")&lt;&gt;H19,SUMIFS($E$5:$E$64,$I$5:$I$64,I19,$D$5:$D$64,"Refund",$C$5:$C$64,"&lt;&gt;Expected")&gt;N(IFERROR(INDEX($E$5:$E$64,MATCH(I19,$A$5:$A$64,0)),""))+0.005,I19="")),AND(N19="Allocation only",OR(O19="",IFERROR(INDEX($F$5:$F$64,MATCH(O19,$A$5:$A$64,0)),"")&lt;&gt;F19,IFERROR(INDEX($N$5:$N$64,MATCH(O19,$A$5:$A$64,0)),"")&lt;&gt;"Cash only")),AND(Setup!$B$8="Checking",OR(F19="Savings",G19="Savings"))),"CHECK AGREEMENT / REFUND / SCOPE","READY"),"READY"))))))),"CHECK INVALID INPUT")</f>
        <v>UNUSED</v>
      </c>
      <c r="S19" t="str">
        <f t="shared" si="27"/>
        <v>UNUSED</v>
      </c>
      <c r="T19">
        <f t="shared" si="0"/>
        <v>0</v>
      </c>
      <c r="U19">
        <f t="shared" si="1"/>
        <v>0</v>
      </c>
      <c r="V19">
        <f>IFERROR(MATCH(H19,Agreements!$A$5:$A$16,0),0)</f>
        <v>0</v>
      </c>
      <c r="W19" s="6">
        <f>IF(D19="Refund",IFERROR(INDEX(Agreements!$AA$5:$AA$16,MATCH(IFERROR(INDEX($H$5:$H$64,MATCH(I19,$A$5:$A$64,0)),""),Agreements!$A$5:$A$16,0)),0),IFERROR(INDEX(Agreements!$AA$5:$AA$16,MATCH(H19,Agreements!$A$5:$A$16,0)),0))</f>
        <v>0</v>
      </c>
      <c r="X19" s="3">
        <f t="shared" si="2"/>
        <v>0</v>
      </c>
      <c r="Y19" s="3">
        <f t="shared" si="3"/>
        <v>0</v>
      </c>
      <c r="Z19" s="3">
        <f t="shared" si="4"/>
        <v>0</v>
      </c>
      <c r="AA19" s="3">
        <f t="shared" si="5"/>
        <v>0</v>
      </c>
      <c r="AB19" s="3">
        <f t="shared" si="6"/>
        <v>0</v>
      </c>
      <c r="AC19" s="3">
        <f t="shared" si="7"/>
        <v>0</v>
      </c>
      <c r="AD19" s="3">
        <f t="shared" si="8"/>
        <v>0</v>
      </c>
      <c r="AE19" s="3">
        <f t="shared" si="9"/>
        <v>0</v>
      </c>
      <c r="AF19" s="3">
        <f t="shared" si="10"/>
        <v>0</v>
      </c>
      <c r="AG19" s="3">
        <f t="shared" si="11"/>
        <v>0</v>
      </c>
      <c r="AH19" s="3">
        <f t="shared" si="12"/>
        <v>0</v>
      </c>
      <c r="AI19" s="3">
        <f>N(Setup!$B$12)+SUM(AC$5:AC19)</f>
        <v>0</v>
      </c>
      <c r="AJ19" s="3">
        <f>N(Setup!$B$18)+SUM(AD$5:AD19)</f>
        <v>0</v>
      </c>
      <c r="AK19" s="3">
        <f>N(Setup!$B$13)+SUM(AE$5:AE19)</f>
        <v>0</v>
      </c>
      <c r="AL19" s="3">
        <f>N(Setup!$B$14)+SUM(AF$5:AF19)</f>
        <v>0</v>
      </c>
      <c r="AM19" s="3">
        <f>N(Setup!$B$19)+SUM(AG$5:AG19)</f>
        <v>0</v>
      </c>
      <c r="AN19" s="3">
        <f>N(Setup!$B$20)+SUM(AH$5:AH19)</f>
        <v>0</v>
      </c>
      <c r="AO19" s="3">
        <f t="shared" si="13"/>
        <v>0</v>
      </c>
      <c r="AP19" s="3">
        <f t="shared" si="14"/>
        <v>0</v>
      </c>
      <c r="AQ19" s="3">
        <f t="shared" si="15"/>
        <v>0</v>
      </c>
      <c r="AR19" s="3">
        <f t="shared" si="16"/>
        <v>0</v>
      </c>
      <c r="AS19" s="3">
        <f t="shared" si="17"/>
        <v>0</v>
      </c>
      <c r="AT19" s="3">
        <f t="shared" si="18"/>
        <v>0</v>
      </c>
      <c r="AU19" s="3">
        <f t="shared" si="19"/>
        <v>0</v>
      </c>
      <c r="AV19" s="3">
        <f t="shared" si="20"/>
        <v>0</v>
      </c>
      <c r="AW19" s="3">
        <f t="shared" si="21"/>
        <v>0</v>
      </c>
      <c r="AX19" s="3">
        <f t="shared" si="22"/>
        <v>0</v>
      </c>
      <c r="AY19" s="3">
        <f t="shared" si="23"/>
        <v>0</v>
      </c>
      <c r="AZ19" t="b">
        <f t="shared" si="24"/>
        <v>0</v>
      </c>
      <c r="BA19" t="b">
        <f>OR(AND(F19="Checking",Setup!$B$8&lt;&gt;"None"),AND(F19="Savings",Setup!$B$8="Combined"))</f>
        <v>0</v>
      </c>
      <c r="BB19" t="b">
        <f>OR(AND(G19="Checking",Setup!$B$8&lt;&gt;"None"),AND(G19="Savings",Setup!$B$8="Combined"))</f>
        <v>0</v>
      </c>
      <c r="BC19" t="b">
        <f t="shared" si="25"/>
        <v>0</v>
      </c>
      <c r="BD19" s="3">
        <f t="shared" si="26"/>
        <v>0</v>
      </c>
    </row>
    <row r="20" spans="1:56" ht="63.95" customHeight="1" x14ac:dyDescent="0.25">
      <c r="A20" s="4"/>
      <c r="B20" s="7"/>
      <c r="C20" s="4"/>
      <c r="D20" s="4"/>
      <c r="E20" s="2"/>
      <c r="F20" s="4"/>
      <c r="G20" s="4"/>
      <c r="H20" s="4"/>
      <c r="I20" s="4"/>
      <c r="J20" s="4"/>
      <c r="K20" s="2"/>
      <c r="L20" s="2"/>
      <c r="M20" s="4"/>
      <c r="N20" s="4"/>
      <c r="O20" s="4"/>
      <c r="P20" s="4"/>
      <c r="Q20" t="str">
        <f>IFERROR(IF(AND(T20=1,SUMPRODUCT(--($B$5:B19&gt;B20),$T$5:T19)&gt;0),"CHECK CASH DATE ORDER",IF(COUNTA(A20:P20)=0,"UNUSED",IF(OR(A20="",NOT(ISNUMBER(B20)),NOT(ISNUMBER(E20)),E20&lt;0,COUNTIF($A$5:$A$64,A20)&lt;&gt;1,AND(C20&lt;&gt;"Confirmed",C20&lt;&gt;"Disputed",C20&lt;&gt;"Expected",C20&lt;&gt;"Historical"),AND(N20&lt;&gt;"Cash + allocation",N20&lt;&gt;"Cash only",N20&lt;&gt;"Allocation only"),LEN(TRIM(P20))=0),"CHECK ID / AMOUNT / STATUS",IF(C20="Expected","EXPECTED — EXCLUDED",IF(C20="Historical",IF(B20&lt;Setup!$B$6,"HISTORICAL — NO CASH","CHECK HISTORICAL DATE"),IF(OR(B20&lt;Setup!$B$6,B20&gt;Setup!$B$7,AND(D20="Expense",OR(AND(F20&lt;&gt;"A",F20&lt;&gt;"B",F20&lt;&gt;"Checking",F20&lt;&gt;"Savings"),G20&lt;&gt;"Merchant")),AND(D20="Refund",OR(F20&lt;&gt;"Merchant",AND(G20&lt;&gt;"A",G20&lt;&gt;"B",G20&lt;&gt;"Checking",G20&lt;&gt;"Savings"))),AND(D20="Contribution",OR(AND(F20&lt;&gt;"A",F20&lt;&gt;"B"),NOT(OR(G20="Checking",G20="Savings")))),AND(D20="ReturnContribution",OR(NOT(OR(F20="Checking",F20="Savings")),AND(G20&lt;&gt;"A",G20&lt;&gt;"B"))),AND(OR(D20="Settlement",D20="PersonalSupport"),OR(AND(M20&lt;&gt;"A",M20&lt;&gt;"B"),IF(M20="A",G20&lt;&gt;"B",G20&lt;&gt;"A"),AND(NOT(OR(F20="Checking",F20="Savings")),F20&lt;&gt;M20))),AND(OR(D20="InternalTransfer",D20="BoundaryTransfer"),OR(NOT(OR(F20="Checking",F20="Savings")),NOT(OR(G20="Checking",G20="Savings")),F20=G20)),AND(D20&lt;&gt;"Expense",D20&lt;&gt;"Refund",D20&lt;&gt;"Contribution",D20&lt;&gt;"ReturnContribution",D20&lt;&gt;"Settlement",D20&lt;&gt;"PersonalSupport",D20&lt;&gt;"InternalTransfer",D20&lt;&gt;"BoundaryTransfer"),AND(Setup!$B$8="None",OR(OR(F20="Checking",F20="Savings"),OR(G20="Checking",G20="Savings"))),AND(Setup!$B$8="Checking",Setup!$B$23&lt;&gt;"Active",OR(F20="Savings",G20="Savings")),AND(T20=1,MIN(AI20:AJ20)&lt; -0.005),AND(N20="Cash only",D20&lt;&gt;"Expense"),AND(N20="Allocation only",D20&lt;&gt;"Expense")),"CHECK CASH / SCOPE","READY")))))),"CHECK INVALID INPUT")</f>
        <v>UNUSED</v>
      </c>
      <c r="R20" t="str">
        <f>IFERROR(IF(AND(C20="Historical",D20="Expense",OR(IFERROR(INDEX(Agreements!$Z$5:$Z$16,MATCH(H20,Agreements!$A$5:$A$16,0)),"MISSING")&lt;&gt;"READY",B20&lt;IFERROR(INDEX(Agreements!$C$5:$C$16,MATCH(H20,Agreements!$A$5:$A$16,0)),0),B20&gt;IFERROR(INDEX(Agreements!$D$5:$D$16,MATCH(H20,Agreements!$A$5:$A$16,0)),0))),"CHECK HISTORICAL AGREEMENT",IF(AND(C20="Confirmed",D20="Refund",AND(IFERROR(INDEX($C$5:$C$64,MATCH(I20,$A$5:$A$64,0)),"")&lt;&gt;"Confirmed",IFERROR(INDEX($C$5:$C$64,MATCH(I20,$A$5:$A$64,0)),"")&lt;&gt;"Historical")),"CHECK REFUND SOURCE STATUS",IF(COUNTA(A20:P20)=0,"UNUSED",IF(OR(C20="Expected",C20="Historical"),"NOT CURRENT",IF(C20="Disputed","DISPUTED — CLOSE PENDING",IF(N20="Cash only",IF(ABS(BD20-E20)&lt;0.005,"READY","CHECK ALLOCATION TOTAL"),IF(OR(D20="Expense",D20="Refund"),IF(OR(IFERROR(INDEX(Agreements!$Z$5:$Z$16,MATCH(H20,Agreements!$A$5:$A$16,0)),0)&lt;&gt;"READY",AND(D20="Expense",OR(B20&lt;IFERROR(INDEX(Agreements!$C$5:$C$16,MATCH(H20,Agreements!$A$5:$A$16,0)),0),B20&gt;IFERROR(INDEX(Agreements!$D$5:$D$16,MATCH(H20,Agreements!$A$5:$A$16,0)),0))),AND(D20="Refund",OR(IFERROR(INDEX($D$5:$D$64,MATCH(I20,$A$5:$A$64,0)),"")&lt;&gt;"Expense",IFERROR(INDEX($H$5:$H$64,MATCH(I20,$A$5:$A$64,0)),"")&lt;&gt;H20,SUMIFS($E$5:$E$64,$I$5:$I$64,I20,$D$5:$D$64,"Refund",$C$5:$C$64,"&lt;&gt;Expected")&gt;N(IFERROR(INDEX($E$5:$E$64,MATCH(I20,$A$5:$A$64,0)),""))+0.005,I20="")),AND(N20="Allocation only",OR(O20="",IFERROR(INDEX($F$5:$F$64,MATCH(O20,$A$5:$A$64,0)),"")&lt;&gt;F20,IFERROR(INDEX($N$5:$N$64,MATCH(O20,$A$5:$A$64,0)),"")&lt;&gt;"Cash only")),AND(Setup!$B$8="Checking",OR(F20="Savings",G20="Savings"))),"CHECK AGREEMENT / REFUND / SCOPE","READY"),"READY"))))))),"CHECK INVALID INPUT")</f>
        <v>UNUSED</v>
      </c>
      <c r="S20" t="str">
        <f t="shared" si="27"/>
        <v>UNUSED</v>
      </c>
      <c r="T20">
        <f t="shared" si="0"/>
        <v>0</v>
      </c>
      <c r="U20">
        <f t="shared" si="1"/>
        <v>0</v>
      </c>
      <c r="V20">
        <f>IFERROR(MATCH(H20,Agreements!$A$5:$A$16,0),0)</f>
        <v>0</v>
      </c>
      <c r="W20" s="6">
        <f>IF(D20="Refund",IFERROR(INDEX(Agreements!$AA$5:$AA$16,MATCH(IFERROR(INDEX($H$5:$H$64,MATCH(I20,$A$5:$A$64,0)),""),Agreements!$A$5:$A$16,0)),0),IFERROR(INDEX(Agreements!$AA$5:$AA$16,MATCH(H20,Agreements!$A$5:$A$16,0)),0))</f>
        <v>0</v>
      </c>
      <c r="X20" s="3">
        <f t="shared" si="2"/>
        <v>0</v>
      </c>
      <c r="Y20" s="3">
        <f t="shared" si="3"/>
        <v>0</v>
      </c>
      <c r="Z20" s="3">
        <f t="shared" si="4"/>
        <v>0</v>
      </c>
      <c r="AA20" s="3">
        <f t="shared" si="5"/>
        <v>0</v>
      </c>
      <c r="AB20" s="3">
        <f t="shared" si="6"/>
        <v>0</v>
      </c>
      <c r="AC20" s="3">
        <f t="shared" si="7"/>
        <v>0</v>
      </c>
      <c r="AD20" s="3">
        <f t="shared" si="8"/>
        <v>0</v>
      </c>
      <c r="AE20" s="3">
        <f t="shared" si="9"/>
        <v>0</v>
      </c>
      <c r="AF20" s="3">
        <f t="shared" si="10"/>
        <v>0</v>
      </c>
      <c r="AG20" s="3">
        <f t="shared" si="11"/>
        <v>0</v>
      </c>
      <c r="AH20" s="3">
        <f t="shared" si="12"/>
        <v>0</v>
      </c>
      <c r="AI20" s="3">
        <f>N(Setup!$B$12)+SUM(AC$5:AC20)</f>
        <v>0</v>
      </c>
      <c r="AJ20" s="3">
        <f>N(Setup!$B$18)+SUM(AD$5:AD20)</f>
        <v>0</v>
      </c>
      <c r="AK20" s="3">
        <f>N(Setup!$B$13)+SUM(AE$5:AE20)</f>
        <v>0</v>
      </c>
      <c r="AL20" s="3">
        <f>N(Setup!$B$14)+SUM(AF$5:AF20)</f>
        <v>0</v>
      </c>
      <c r="AM20" s="3">
        <f>N(Setup!$B$19)+SUM(AG$5:AG20)</f>
        <v>0</v>
      </c>
      <c r="AN20" s="3">
        <f>N(Setup!$B$20)+SUM(AH$5:AH20)</f>
        <v>0</v>
      </c>
      <c r="AO20" s="3">
        <f t="shared" si="13"/>
        <v>0</v>
      </c>
      <c r="AP20" s="3">
        <f t="shared" si="14"/>
        <v>0</v>
      </c>
      <c r="AQ20" s="3">
        <f t="shared" si="15"/>
        <v>0</v>
      </c>
      <c r="AR20" s="3">
        <f t="shared" si="16"/>
        <v>0</v>
      </c>
      <c r="AS20" s="3">
        <f t="shared" si="17"/>
        <v>0</v>
      </c>
      <c r="AT20" s="3">
        <f t="shared" si="18"/>
        <v>0</v>
      </c>
      <c r="AU20" s="3">
        <f t="shared" si="19"/>
        <v>0</v>
      </c>
      <c r="AV20" s="3">
        <f t="shared" si="20"/>
        <v>0</v>
      </c>
      <c r="AW20" s="3">
        <f t="shared" si="21"/>
        <v>0</v>
      </c>
      <c r="AX20" s="3">
        <f t="shared" si="22"/>
        <v>0</v>
      </c>
      <c r="AY20" s="3">
        <f t="shared" si="23"/>
        <v>0</v>
      </c>
      <c r="AZ20" t="b">
        <f t="shared" si="24"/>
        <v>0</v>
      </c>
      <c r="BA20" t="b">
        <f>OR(AND(F20="Checking",Setup!$B$8&lt;&gt;"None"),AND(F20="Savings",Setup!$B$8="Combined"))</f>
        <v>0</v>
      </c>
      <c r="BB20" t="b">
        <f>OR(AND(G20="Checking",Setup!$B$8&lt;&gt;"None"),AND(G20="Savings",Setup!$B$8="Combined"))</f>
        <v>0</v>
      </c>
      <c r="BC20" t="b">
        <f t="shared" si="25"/>
        <v>0</v>
      </c>
      <c r="BD20" s="3">
        <f t="shared" si="26"/>
        <v>0</v>
      </c>
    </row>
    <row r="21" spans="1:56" ht="63.95" customHeight="1" x14ac:dyDescent="0.25">
      <c r="A21" s="4"/>
      <c r="B21" s="7"/>
      <c r="C21" s="4"/>
      <c r="D21" s="4"/>
      <c r="E21" s="2"/>
      <c r="F21" s="4"/>
      <c r="G21" s="4"/>
      <c r="H21" s="4"/>
      <c r="I21" s="4"/>
      <c r="J21" s="4"/>
      <c r="K21" s="2"/>
      <c r="L21" s="2"/>
      <c r="M21" s="4"/>
      <c r="N21" s="4"/>
      <c r="O21" s="4"/>
      <c r="P21" s="4"/>
      <c r="Q21" t="str">
        <f>IFERROR(IF(AND(T21=1,SUMPRODUCT(--($B$5:B20&gt;B21),$T$5:T20)&gt;0),"CHECK CASH DATE ORDER",IF(COUNTA(A21:P21)=0,"UNUSED",IF(OR(A21="",NOT(ISNUMBER(B21)),NOT(ISNUMBER(E21)),E21&lt;0,COUNTIF($A$5:$A$64,A21)&lt;&gt;1,AND(C21&lt;&gt;"Confirmed",C21&lt;&gt;"Disputed",C21&lt;&gt;"Expected",C21&lt;&gt;"Historical"),AND(N21&lt;&gt;"Cash + allocation",N21&lt;&gt;"Cash only",N21&lt;&gt;"Allocation only"),LEN(TRIM(P21))=0),"CHECK ID / AMOUNT / STATUS",IF(C21="Expected","EXPECTED — EXCLUDED",IF(C21="Historical",IF(B21&lt;Setup!$B$6,"HISTORICAL — NO CASH","CHECK HISTORICAL DATE"),IF(OR(B21&lt;Setup!$B$6,B21&gt;Setup!$B$7,AND(D21="Expense",OR(AND(F21&lt;&gt;"A",F21&lt;&gt;"B",F21&lt;&gt;"Checking",F21&lt;&gt;"Savings"),G21&lt;&gt;"Merchant")),AND(D21="Refund",OR(F21&lt;&gt;"Merchant",AND(G21&lt;&gt;"A",G21&lt;&gt;"B",G21&lt;&gt;"Checking",G21&lt;&gt;"Savings"))),AND(D21="Contribution",OR(AND(F21&lt;&gt;"A",F21&lt;&gt;"B"),NOT(OR(G21="Checking",G21="Savings")))),AND(D21="ReturnContribution",OR(NOT(OR(F21="Checking",F21="Savings")),AND(G21&lt;&gt;"A",G21&lt;&gt;"B"))),AND(OR(D21="Settlement",D21="PersonalSupport"),OR(AND(M21&lt;&gt;"A",M21&lt;&gt;"B"),IF(M21="A",G21&lt;&gt;"B",G21&lt;&gt;"A"),AND(NOT(OR(F21="Checking",F21="Savings")),F21&lt;&gt;M21))),AND(OR(D21="InternalTransfer",D21="BoundaryTransfer"),OR(NOT(OR(F21="Checking",F21="Savings")),NOT(OR(G21="Checking",G21="Savings")),F21=G21)),AND(D21&lt;&gt;"Expense",D21&lt;&gt;"Refund",D21&lt;&gt;"Contribution",D21&lt;&gt;"ReturnContribution",D21&lt;&gt;"Settlement",D21&lt;&gt;"PersonalSupport",D21&lt;&gt;"InternalTransfer",D21&lt;&gt;"BoundaryTransfer"),AND(Setup!$B$8="None",OR(OR(F21="Checking",F21="Savings"),OR(G21="Checking",G21="Savings"))),AND(Setup!$B$8="Checking",Setup!$B$23&lt;&gt;"Active",OR(F21="Savings",G21="Savings")),AND(T21=1,MIN(AI21:AJ21)&lt; -0.005),AND(N21="Cash only",D21&lt;&gt;"Expense"),AND(N21="Allocation only",D21&lt;&gt;"Expense")),"CHECK CASH / SCOPE","READY")))))),"CHECK INVALID INPUT")</f>
        <v>UNUSED</v>
      </c>
      <c r="R21" t="str">
        <f>IFERROR(IF(AND(C21="Historical",D21="Expense",OR(IFERROR(INDEX(Agreements!$Z$5:$Z$16,MATCH(H21,Agreements!$A$5:$A$16,0)),"MISSING")&lt;&gt;"READY",B21&lt;IFERROR(INDEX(Agreements!$C$5:$C$16,MATCH(H21,Agreements!$A$5:$A$16,0)),0),B21&gt;IFERROR(INDEX(Agreements!$D$5:$D$16,MATCH(H21,Agreements!$A$5:$A$16,0)),0))),"CHECK HISTORICAL AGREEMENT",IF(AND(C21="Confirmed",D21="Refund",AND(IFERROR(INDEX($C$5:$C$64,MATCH(I21,$A$5:$A$64,0)),"")&lt;&gt;"Confirmed",IFERROR(INDEX($C$5:$C$64,MATCH(I21,$A$5:$A$64,0)),"")&lt;&gt;"Historical")),"CHECK REFUND SOURCE STATUS",IF(COUNTA(A21:P21)=0,"UNUSED",IF(OR(C21="Expected",C21="Historical"),"NOT CURRENT",IF(C21="Disputed","DISPUTED — CLOSE PENDING",IF(N21="Cash only",IF(ABS(BD21-E21)&lt;0.005,"READY","CHECK ALLOCATION TOTAL"),IF(OR(D21="Expense",D21="Refund"),IF(OR(IFERROR(INDEX(Agreements!$Z$5:$Z$16,MATCH(H21,Agreements!$A$5:$A$16,0)),0)&lt;&gt;"READY",AND(D21="Expense",OR(B21&lt;IFERROR(INDEX(Agreements!$C$5:$C$16,MATCH(H21,Agreements!$A$5:$A$16,0)),0),B21&gt;IFERROR(INDEX(Agreements!$D$5:$D$16,MATCH(H21,Agreements!$A$5:$A$16,0)),0))),AND(D21="Refund",OR(IFERROR(INDEX($D$5:$D$64,MATCH(I21,$A$5:$A$64,0)),"")&lt;&gt;"Expense",IFERROR(INDEX($H$5:$H$64,MATCH(I21,$A$5:$A$64,0)),"")&lt;&gt;H21,SUMIFS($E$5:$E$64,$I$5:$I$64,I21,$D$5:$D$64,"Refund",$C$5:$C$64,"&lt;&gt;Expected")&gt;N(IFERROR(INDEX($E$5:$E$64,MATCH(I21,$A$5:$A$64,0)),""))+0.005,I21="")),AND(N21="Allocation only",OR(O21="",IFERROR(INDEX($F$5:$F$64,MATCH(O21,$A$5:$A$64,0)),"")&lt;&gt;F21,IFERROR(INDEX($N$5:$N$64,MATCH(O21,$A$5:$A$64,0)),"")&lt;&gt;"Cash only")),AND(Setup!$B$8="Checking",OR(F21="Savings",G21="Savings"))),"CHECK AGREEMENT / REFUND / SCOPE","READY"),"READY"))))))),"CHECK INVALID INPUT")</f>
        <v>UNUSED</v>
      </c>
      <c r="S21" t="str">
        <f t="shared" si="27"/>
        <v>UNUSED</v>
      </c>
      <c r="T21">
        <f t="shared" si="0"/>
        <v>0</v>
      </c>
      <c r="U21">
        <f t="shared" si="1"/>
        <v>0</v>
      </c>
      <c r="V21">
        <f>IFERROR(MATCH(H21,Agreements!$A$5:$A$16,0),0)</f>
        <v>0</v>
      </c>
      <c r="W21" s="6">
        <f>IF(D21="Refund",IFERROR(INDEX(Agreements!$AA$5:$AA$16,MATCH(IFERROR(INDEX($H$5:$H$64,MATCH(I21,$A$5:$A$64,0)),""),Agreements!$A$5:$A$16,0)),0),IFERROR(INDEX(Agreements!$AA$5:$AA$16,MATCH(H21,Agreements!$A$5:$A$16,0)),0))</f>
        <v>0</v>
      </c>
      <c r="X21" s="3">
        <f t="shared" si="2"/>
        <v>0</v>
      </c>
      <c r="Y21" s="3">
        <f t="shared" si="3"/>
        <v>0</v>
      </c>
      <c r="Z21" s="3">
        <f t="shared" si="4"/>
        <v>0</v>
      </c>
      <c r="AA21" s="3">
        <f t="shared" si="5"/>
        <v>0</v>
      </c>
      <c r="AB21" s="3">
        <f t="shared" si="6"/>
        <v>0</v>
      </c>
      <c r="AC21" s="3">
        <f t="shared" si="7"/>
        <v>0</v>
      </c>
      <c r="AD21" s="3">
        <f t="shared" si="8"/>
        <v>0</v>
      </c>
      <c r="AE21" s="3">
        <f t="shared" si="9"/>
        <v>0</v>
      </c>
      <c r="AF21" s="3">
        <f t="shared" si="10"/>
        <v>0</v>
      </c>
      <c r="AG21" s="3">
        <f t="shared" si="11"/>
        <v>0</v>
      </c>
      <c r="AH21" s="3">
        <f t="shared" si="12"/>
        <v>0</v>
      </c>
      <c r="AI21" s="3">
        <f>N(Setup!$B$12)+SUM(AC$5:AC21)</f>
        <v>0</v>
      </c>
      <c r="AJ21" s="3">
        <f>N(Setup!$B$18)+SUM(AD$5:AD21)</f>
        <v>0</v>
      </c>
      <c r="AK21" s="3">
        <f>N(Setup!$B$13)+SUM(AE$5:AE21)</f>
        <v>0</v>
      </c>
      <c r="AL21" s="3">
        <f>N(Setup!$B$14)+SUM(AF$5:AF21)</f>
        <v>0</v>
      </c>
      <c r="AM21" s="3">
        <f>N(Setup!$B$19)+SUM(AG$5:AG21)</f>
        <v>0</v>
      </c>
      <c r="AN21" s="3">
        <f>N(Setup!$B$20)+SUM(AH$5:AH21)</f>
        <v>0</v>
      </c>
      <c r="AO21" s="3">
        <f t="shared" si="13"/>
        <v>0</v>
      </c>
      <c r="AP21" s="3">
        <f t="shared" si="14"/>
        <v>0</v>
      </c>
      <c r="AQ21" s="3">
        <f t="shared" si="15"/>
        <v>0</v>
      </c>
      <c r="AR21" s="3">
        <f t="shared" si="16"/>
        <v>0</v>
      </c>
      <c r="AS21" s="3">
        <f t="shared" si="17"/>
        <v>0</v>
      </c>
      <c r="AT21" s="3">
        <f t="shared" si="18"/>
        <v>0</v>
      </c>
      <c r="AU21" s="3">
        <f t="shared" si="19"/>
        <v>0</v>
      </c>
      <c r="AV21" s="3">
        <f t="shared" si="20"/>
        <v>0</v>
      </c>
      <c r="AW21" s="3">
        <f t="shared" si="21"/>
        <v>0</v>
      </c>
      <c r="AX21" s="3">
        <f t="shared" si="22"/>
        <v>0</v>
      </c>
      <c r="AY21" s="3">
        <f t="shared" si="23"/>
        <v>0</v>
      </c>
      <c r="AZ21" t="b">
        <f t="shared" si="24"/>
        <v>0</v>
      </c>
      <c r="BA21" t="b">
        <f>OR(AND(F21="Checking",Setup!$B$8&lt;&gt;"None"),AND(F21="Savings",Setup!$B$8="Combined"))</f>
        <v>0</v>
      </c>
      <c r="BB21" t="b">
        <f>OR(AND(G21="Checking",Setup!$B$8&lt;&gt;"None"),AND(G21="Savings",Setup!$B$8="Combined"))</f>
        <v>0</v>
      </c>
      <c r="BC21" t="b">
        <f t="shared" si="25"/>
        <v>0</v>
      </c>
      <c r="BD21" s="3">
        <f t="shared" si="26"/>
        <v>0</v>
      </c>
    </row>
    <row r="22" spans="1:56" ht="63.95" customHeight="1" x14ac:dyDescent="0.25">
      <c r="A22" s="4"/>
      <c r="B22" s="7"/>
      <c r="C22" s="4"/>
      <c r="D22" s="4"/>
      <c r="E22" s="2"/>
      <c r="F22" s="4"/>
      <c r="G22" s="4"/>
      <c r="H22" s="4"/>
      <c r="I22" s="4"/>
      <c r="J22" s="4"/>
      <c r="K22" s="2"/>
      <c r="L22" s="2"/>
      <c r="M22" s="4"/>
      <c r="N22" s="4"/>
      <c r="O22" s="4"/>
      <c r="P22" s="4"/>
      <c r="Q22" t="str">
        <f>IFERROR(IF(AND(T22=1,SUMPRODUCT(--($B$5:B21&gt;B22),$T$5:T21)&gt;0),"CHECK CASH DATE ORDER",IF(COUNTA(A22:P22)=0,"UNUSED",IF(OR(A22="",NOT(ISNUMBER(B22)),NOT(ISNUMBER(E22)),E22&lt;0,COUNTIF($A$5:$A$64,A22)&lt;&gt;1,AND(C22&lt;&gt;"Confirmed",C22&lt;&gt;"Disputed",C22&lt;&gt;"Expected",C22&lt;&gt;"Historical"),AND(N22&lt;&gt;"Cash + allocation",N22&lt;&gt;"Cash only",N22&lt;&gt;"Allocation only"),LEN(TRIM(P22))=0),"CHECK ID / AMOUNT / STATUS",IF(C22="Expected","EXPECTED — EXCLUDED",IF(C22="Historical",IF(B22&lt;Setup!$B$6,"HISTORICAL — NO CASH","CHECK HISTORICAL DATE"),IF(OR(B22&lt;Setup!$B$6,B22&gt;Setup!$B$7,AND(D22="Expense",OR(AND(F22&lt;&gt;"A",F22&lt;&gt;"B",F22&lt;&gt;"Checking",F22&lt;&gt;"Savings"),G22&lt;&gt;"Merchant")),AND(D22="Refund",OR(F22&lt;&gt;"Merchant",AND(G22&lt;&gt;"A",G22&lt;&gt;"B",G22&lt;&gt;"Checking",G22&lt;&gt;"Savings"))),AND(D22="Contribution",OR(AND(F22&lt;&gt;"A",F22&lt;&gt;"B"),NOT(OR(G22="Checking",G22="Savings")))),AND(D22="ReturnContribution",OR(NOT(OR(F22="Checking",F22="Savings")),AND(G22&lt;&gt;"A",G22&lt;&gt;"B"))),AND(OR(D22="Settlement",D22="PersonalSupport"),OR(AND(M22&lt;&gt;"A",M22&lt;&gt;"B"),IF(M22="A",G22&lt;&gt;"B",G22&lt;&gt;"A"),AND(NOT(OR(F22="Checking",F22="Savings")),F22&lt;&gt;M22))),AND(OR(D22="InternalTransfer",D22="BoundaryTransfer"),OR(NOT(OR(F22="Checking",F22="Savings")),NOT(OR(G22="Checking",G22="Savings")),F22=G22)),AND(D22&lt;&gt;"Expense",D22&lt;&gt;"Refund",D22&lt;&gt;"Contribution",D22&lt;&gt;"ReturnContribution",D22&lt;&gt;"Settlement",D22&lt;&gt;"PersonalSupport",D22&lt;&gt;"InternalTransfer",D22&lt;&gt;"BoundaryTransfer"),AND(Setup!$B$8="None",OR(OR(F22="Checking",F22="Savings"),OR(G22="Checking",G22="Savings"))),AND(Setup!$B$8="Checking",Setup!$B$23&lt;&gt;"Active",OR(F22="Savings",G22="Savings")),AND(T22=1,MIN(AI22:AJ22)&lt; -0.005),AND(N22="Cash only",D22&lt;&gt;"Expense"),AND(N22="Allocation only",D22&lt;&gt;"Expense")),"CHECK CASH / SCOPE","READY")))))),"CHECK INVALID INPUT")</f>
        <v>UNUSED</v>
      </c>
      <c r="R22" t="str">
        <f>IFERROR(IF(AND(C22="Historical",D22="Expense",OR(IFERROR(INDEX(Agreements!$Z$5:$Z$16,MATCH(H22,Agreements!$A$5:$A$16,0)),"MISSING")&lt;&gt;"READY",B22&lt;IFERROR(INDEX(Agreements!$C$5:$C$16,MATCH(H22,Agreements!$A$5:$A$16,0)),0),B22&gt;IFERROR(INDEX(Agreements!$D$5:$D$16,MATCH(H22,Agreements!$A$5:$A$16,0)),0))),"CHECK HISTORICAL AGREEMENT",IF(AND(C22="Confirmed",D22="Refund",AND(IFERROR(INDEX($C$5:$C$64,MATCH(I22,$A$5:$A$64,0)),"")&lt;&gt;"Confirmed",IFERROR(INDEX($C$5:$C$64,MATCH(I22,$A$5:$A$64,0)),"")&lt;&gt;"Historical")),"CHECK REFUND SOURCE STATUS",IF(COUNTA(A22:P22)=0,"UNUSED",IF(OR(C22="Expected",C22="Historical"),"NOT CURRENT",IF(C22="Disputed","DISPUTED — CLOSE PENDING",IF(N22="Cash only",IF(ABS(BD22-E22)&lt;0.005,"READY","CHECK ALLOCATION TOTAL"),IF(OR(D22="Expense",D22="Refund"),IF(OR(IFERROR(INDEX(Agreements!$Z$5:$Z$16,MATCH(H22,Agreements!$A$5:$A$16,0)),0)&lt;&gt;"READY",AND(D22="Expense",OR(B22&lt;IFERROR(INDEX(Agreements!$C$5:$C$16,MATCH(H22,Agreements!$A$5:$A$16,0)),0),B22&gt;IFERROR(INDEX(Agreements!$D$5:$D$16,MATCH(H22,Agreements!$A$5:$A$16,0)),0))),AND(D22="Refund",OR(IFERROR(INDEX($D$5:$D$64,MATCH(I22,$A$5:$A$64,0)),"")&lt;&gt;"Expense",IFERROR(INDEX($H$5:$H$64,MATCH(I22,$A$5:$A$64,0)),"")&lt;&gt;H22,SUMIFS($E$5:$E$64,$I$5:$I$64,I22,$D$5:$D$64,"Refund",$C$5:$C$64,"&lt;&gt;Expected")&gt;N(IFERROR(INDEX($E$5:$E$64,MATCH(I22,$A$5:$A$64,0)),""))+0.005,I22="")),AND(N22="Allocation only",OR(O22="",IFERROR(INDEX($F$5:$F$64,MATCH(O22,$A$5:$A$64,0)),"")&lt;&gt;F22,IFERROR(INDEX($N$5:$N$64,MATCH(O22,$A$5:$A$64,0)),"")&lt;&gt;"Cash only")),AND(Setup!$B$8="Checking",OR(F22="Savings",G22="Savings"))),"CHECK AGREEMENT / REFUND / SCOPE","READY"),"READY"))))))),"CHECK INVALID INPUT")</f>
        <v>UNUSED</v>
      </c>
      <c r="S22" t="str">
        <f t="shared" si="27"/>
        <v>UNUSED</v>
      </c>
      <c r="T22">
        <f t="shared" si="0"/>
        <v>0</v>
      </c>
      <c r="U22">
        <f t="shared" si="1"/>
        <v>0</v>
      </c>
      <c r="V22">
        <f>IFERROR(MATCH(H22,Agreements!$A$5:$A$16,0),0)</f>
        <v>0</v>
      </c>
      <c r="W22" s="6">
        <f>IF(D22="Refund",IFERROR(INDEX(Agreements!$AA$5:$AA$16,MATCH(IFERROR(INDEX($H$5:$H$64,MATCH(I22,$A$5:$A$64,0)),""),Agreements!$A$5:$A$16,0)),0),IFERROR(INDEX(Agreements!$AA$5:$AA$16,MATCH(H22,Agreements!$A$5:$A$16,0)),0))</f>
        <v>0</v>
      </c>
      <c r="X22" s="3">
        <f t="shared" si="2"/>
        <v>0</v>
      </c>
      <c r="Y22" s="3">
        <f t="shared" si="3"/>
        <v>0</v>
      </c>
      <c r="Z22" s="3">
        <f t="shared" si="4"/>
        <v>0</v>
      </c>
      <c r="AA22" s="3">
        <f t="shared" si="5"/>
        <v>0</v>
      </c>
      <c r="AB22" s="3">
        <f t="shared" si="6"/>
        <v>0</v>
      </c>
      <c r="AC22" s="3">
        <f t="shared" si="7"/>
        <v>0</v>
      </c>
      <c r="AD22" s="3">
        <f t="shared" si="8"/>
        <v>0</v>
      </c>
      <c r="AE22" s="3">
        <f t="shared" si="9"/>
        <v>0</v>
      </c>
      <c r="AF22" s="3">
        <f t="shared" si="10"/>
        <v>0</v>
      </c>
      <c r="AG22" s="3">
        <f t="shared" si="11"/>
        <v>0</v>
      </c>
      <c r="AH22" s="3">
        <f t="shared" si="12"/>
        <v>0</v>
      </c>
      <c r="AI22" s="3">
        <f>N(Setup!$B$12)+SUM(AC$5:AC22)</f>
        <v>0</v>
      </c>
      <c r="AJ22" s="3">
        <f>N(Setup!$B$18)+SUM(AD$5:AD22)</f>
        <v>0</v>
      </c>
      <c r="AK22" s="3">
        <f>N(Setup!$B$13)+SUM(AE$5:AE22)</f>
        <v>0</v>
      </c>
      <c r="AL22" s="3">
        <f>N(Setup!$B$14)+SUM(AF$5:AF22)</f>
        <v>0</v>
      </c>
      <c r="AM22" s="3">
        <f>N(Setup!$B$19)+SUM(AG$5:AG22)</f>
        <v>0</v>
      </c>
      <c r="AN22" s="3">
        <f>N(Setup!$B$20)+SUM(AH$5:AH22)</f>
        <v>0</v>
      </c>
      <c r="AO22" s="3">
        <f t="shared" si="13"/>
        <v>0</v>
      </c>
      <c r="AP22" s="3">
        <f t="shared" si="14"/>
        <v>0</v>
      </c>
      <c r="AQ22" s="3">
        <f t="shared" si="15"/>
        <v>0</v>
      </c>
      <c r="AR22" s="3">
        <f t="shared" si="16"/>
        <v>0</v>
      </c>
      <c r="AS22" s="3">
        <f t="shared" si="17"/>
        <v>0</v>
      </c>
      <c r="AT22" s="3">
        <f t="shared" si="18"/>
        <v>0</v>
      </c>
      <c r="AU22" s="3">
        <f t="shared" si="19"/>
        <v>0</v>
      </c>
      <c r="AV22" s="3">
        <f t="shared" si="20"/>
        <v>0</v>
      </c>
      <c r="AW22" s="3">
        <f t="shared" si="21"/>
        <v>0</v>
      </c>
      <c r="AX22" s="3">
        <f t="shared" si="22"/>
        <v>0</v>
      </c>
      <c r="AY22" s="3">
        <f t="shared" si="23"/>
        <v>0</v>
      </c>
      <c r="AZ22" t="b">
        <f t="shared" si="24"/>
        <v>0</v>
      </c>
      <c r="BA22" t="b">
        <f>OR(AND(F22="Checking",Setup!$B$8&lt;&gt;"None"),AND(F22="Savings",Setup!$B$8="Combined"))</f>
        <v>0</v>
      </c>
      <c r="BB22" t="b">
        <f>OR(AND(G22="Checking",Setup!$B$8&lt;&gt;"None"),AND(G22="Savings",Setup!$B$8="Combined"))</f>
        <v>0</v>
      </c>
      <c r="BC22" t="b">
        <f t="shared" si="25"/>
        <v>0</v>
      </c>
      <c r="BD22" s="3">
        <f t="shared" si="26"/>
        <v>0</v>
      </c>
    </row>
    <row r="23" spans="1:56" ht="63.95" customHeight="1" x14ac:dyDescent="0.25">
      <c r="A23" s="4"/>
      <c r="B23" s="7"/>
      <c r="C23" s="4"/>
      <c r="D23" s="4"/>
      <c r="E23" s="2"/>
      <c r="F23" s="4"/>
      <c r="G23" s="4"/>
      <c r="H23" s="4"/>
      <c r="I23" s="4"/>
      <c r="J23" s="4"/>
      <c r="K23" s="2"/>
      <c r="L23" s="2"/>
      <c r="M23" s="4"/>
      <c r="N23" s="4"/>
      <c r="O23" s="4"/>
      <c r="P23" s="4"/>
      <c r="Q23" t="str">
        <f>IFERROR(IF(AND(T23=1,SUMPRODUCT(--($B$5:B22&gt;B23),$T$5:T22)&gt;0),"CHECK CASH DATE ORDER",IF(COUNTA(A23:P23)=0,"UNUSED",IF(OR(A23="",NOT(ISNUMBER(B23)),NOT(ISNUMBER(E23)),E23&lt;0,COUNTIF($A$5:$A$64,A23)&lt;&gt;1,AND(C23&lt;&gt;"Confirmed",C23&lt;&gt;"Disputed",C23&lt;&gt;"Expected",C23&lt;&gt;"Historical"),AND(N23&lt;&gt;"Cash + allocation",N23&lt;&gt;"Cash only",N23&lt;&gt;"Allocation only"),LEN(TRIM(P23))=0),"CHECK ID / AMOUNT / STATUS",IF(C23="Expected","EXPECTED — EXCLUDED",IF(C23="Historical",IF(B23&lt;Setup!$B$6,"HISTORICAL — NO CASH","CHECK HISTORICAL DATE"),IF(OR(B23&lt;Setup!$B$6,B23&gt;Setup!$B$7,AND(D23="Expense",OR(AND(F23&lt;&gt;"A",F23&lt;&gt;"B",F23&lt;&gt;"Checking",F23&lt;&gt;"Savings"),G23&lt;&gt;"Merchant")),AND(D23="Refund",OR(F23&lt;&gt;"Merchant",AND(G23&lt;&gt;"A",G23&lt;&gt;"B",G23&lt;&gt;"Checking",G23&lt;&gt;"Savings"))),AND(D23="Contribution",OR(AND(F23&lt;&gt;"A",F23&lt;&gt;"B"),NOT(OR(G23="Checking",G23="Savings")))),AND(D23="ReturnContribution",OR(NOT(OR(F23="Checking",F23="Savings")),AND(G23&lt;&gt;"A",G23&lt;&gt;"B"))),AND(OR(D23="Settlement",D23="PersonalSupport"),OR(AND(M23&lt;&gt;"A",M23&lt;&gt;"B"),IF(M23="A",G23&lt;&gt;"B",G23&lt;&gt;"A"),AND(NOT(OR(F23="Checking",F23="Savings")),F23&lt;&gt;M23))),AND(OR(D23="InternalTransfer",D23="BoundaryTransfer"),OR(NOT(OR(F23="Checking",F23="Savings")),NOT(OR(G23="Checking",G23="Savings")),F23=G23)),AND(D23&lt;&gt;"Expense",D23&lt;&gt;"Refund",D23&lt;&gt;"Contribution",D23&lt;&gt;"ReturnContribution",D23&lt;&gt;"Settlement",D23&lt;&gt;"PersonalSupport",D23&lt;&gt;"InternalTransfer",D23&lt;&gt;"BoundaryTransfer"),AND(Setup!$B$8="None",OR(OR(F23="Checking",F23="Savings"),OR(G23="Checking",G23="Savings"))),AND(Setup!$B$8="Checking",Setup!$B$23&lt;&gt;"Active",OR(F23="Savings",G23="Savings")),AND(T23=1,MIN(AI23:AJ23)&lt; -0.005),AND(N23="Cash only",D23&lt;&gt;"Expense"),AND(N23="Allocation only",D23&lt;&gt;"Expense")),"CHECK CASH / SCOPE","READY")))))),"CHECK INVALID INPUT")</f>
        <v>UNUSED</v>
      </c>
      <c r="R23" t="str">
        <f>IFERROR(IF(AND(C23="Historical",D23="Expense",OR(IFERROR(INDEX(Agreements!$Z$5:$Z$16,MATCH(H23,Agreements!$A$5:$A$16,0)),"MISSING")&lt;&gt;"READY",B23&lt;IFERROR(INDEX(Agreements!$C$5:$C$16,MATCH(H23,Agreements!$A$5:$A$16,0)),0),B23&gt;IFERROR(INDEX(Agreements!$D$5:$D$16,MATCH(H23,Agreements!$A$5:$A$16,0)),0))),"CHECK HISTORICAL AGREEMENT",IF(AND(C23="Confirmed",D23="Refund",AND(IFERROR(INDEX($C$5:$C$64,MATCH(I23,$A$5:$A$64,0)),"")&lt;&gt;"Confirmed",IFERROR(INDEX($C$5:$C$64,MATCH(I23,$A$5:$A$64,0)),"")&lt;&gt;"Historical")),"CHECK REFUND SOURCE STATUS",IF(COUNTA(A23:P23)=0,"UNUSED",IF(OR(C23="Expected",C23="Historical"),"NOT CURRENT",IF(C23="Disputed","DISPUTED — CLOSE PENDING",IF(N23="Cash only",IF(ABS(BD23-E23)&lt;0.005,"READY","CHECK ALLOCATION TOTAL"),IF(OR(D23="Expense",D23="Refund"),IF(OR(IFERROR(INDEX(Agreements!$Z$5:$Z$16,MATCH(H23,Agreements!$A$5:$A$16,0)),0)&lt;&gt;"READY",AND(D23="Expense",OR(B23&lt;IFERROR(INDEX(Agreements!$C$5:$C$16,MATCH(H23,Agreements!$A$5:$A$16,0)),0),B23&gt;IFERROR(INDEX(Agreements!$D$5:$D$16,MATCH(H23,Agreements!$A$5:$A$16,0)),0))),AND(D23="Refund",OR(IFERROR(INDEX($D$5:$D$64,MATCH(I23,$A$5:$A$64,0)),"")&lt;&gt;"Expense",IFERROR(INDEX($H$5:$H$64,MATCH(I23,$A$5:$A$64,0)),"")&lt;&gt;H23,SUMIFS($E$5:$E$64,$I$5:$I$64,I23,$D$5:$D$64,"Refund",$C$5:$C$64,"&lt;&gt;Expected")&gt;N(IFERROR(INDEX($E$5:$E$64,MATCH(I23,$A$5:$A$64,0)),""))+0.005,I23="")),AND(N23="Allocation only",OR(O23="",IFERROR(INDEX($F$5:$F$64,MATCH(O23,$A$5:$A$64,0)),"")&lt;&gt;F23,IFERROR(INDEX($N$5:$N$64,MATCH(O23,$A$5:$A$64,0)),"")&lt;&gt;"Cash only")),AND(Setup!$B$8="Checking",OR(F23="Savings",G23="Savings"))),"CHECK AGREEMENT / REFUND / SCOPE","READY"),"READY"))))))),"CHECK INVALID INPUT")</f>
        <v>UNUSED</v>
      </c>
      <c r="S23" t="str">
        <f t="shared" si="27"/>
        <v>UNUSED</v>
      </c>
      <c r="T23">
        <f t="shared" si="0"/>
        <v>0</v>
      </c>
      <c r="U23">
        <f t="shared" si="1"/>
        <v>0</v>
      </c>
      <c r="V23">
        <f>IFERROR(MATCH(H23,Agreements!$A$5:$A$16,0),0)</f>
        <v>0</v>
      </c>
      <c r="W23" s="6">
        <f>IF(D23="Refund",IFERROR(INDEX(Agreements!$AA$5:$AA$16,MATCH(IFERROR(INDEX($H$5:$H$64,MATCH(I23,$A$5:$A$64,0)),""),Agreements!$A$5:$A$16,0)),0),IFERROR(INDEX(Agreements!$AA$5:$AA$16,MATCH(H23,Agreements!$A$5:$A$16,0)),0))</f>
        <v>0</v>
      </c>
      <c r="X23" s="3">
        <f t="shared" si="2"/>
        <v>0</v>
      </c>
      <c r="Y23" s="3">
        <f t="shared" si="3"/>
        <v>0</v>
      </c>
      <c r="Z23" s="3">
        <f t="shared" si="4"/>
        <v>0</v>
      </c>
      <c r="AA23" s="3">
        <f t="shared" si="5"/>
        <v>0</v>
      </c>
      <c r="AB23" s="3">
        <f t="shared" si="6"/>
        <v>0</v>
      </c>
      <c r="AC23" s="3">
        <f t="shared" si="7"/>
        <v>0</v>
      </c>
      <c r="AD23" s="3">
        <f t="shared" si="8"/>
        <v>0</v>
      </c>
      <c r="AE23" s="3">
        <f t="shared" si="9"/>
        <v>0</v>
      </c>
      <c r="AF23" s="3">
        <f t="shared" si="10"/>
        <v>0</v>
      </c>
      <c r="AG23" s="3">
        <f t="shared" si="11"/>
        <v>0</v>
      </c>
      <c r="AH23" s="3">
        <f t="shared" si="12"/>
        <v>0</v>
      </c>
      <c r="AI23" s="3">
        <f>N(Setup!$B$12)+SUM(AC$5:AC23)</f>
        <v>0</v>
      </c>
      <c r="AJ23" s="3">
        <f>N(Setup!$B$18)+SUM(AD$5:AD23)</f>
        <v>0</v>
      </c>
      <c r="AK23" s="3">
        <f>N(Setup!$B$13)+SUM(AE$5:AE23)</f>
        <v>0</v>
      </c>
      <c r="AL23" s="3">
        <f>N(Setup!$B$14)+SUM(AF$5:AF23)</f>
        <v>0</v>
      </c>
      <c r="AM23" s="3">
        <f>N(Setup!$B$19)+SUM(AG$5:AG23)</f>
        <v>0</v>
      </c>
      <c r="AN23" s="3">
        <f>N(Setup!$B$20)+SUM(AH$5:AH23)</f>
        <v>0</v>
      </c>
      <c r="AO23" s="3">
        <f t="shared" si="13"/>
        <v>0</v>
      </c>
      <c r="AP23" s="3">
        <f t="shared" si="14"/>
        <v>0</v>
      </c>
      <c r="AQ23" s="3">
        <f t="shared" si="15"/>
        <v>0</v>
      </c>
      <c r="AR23" s="3">
        <f t="shared" si="16"/>
        <v>0</v>
      </c>
      <c r="AS23" s="3">
        <f t="shared" si="17"/>
        <v>0</v>
      </c>
      <c r="AT23" s="3">
        <f t="shared" si="18"/>
        <v>0</v>
      </c>
      <c r="AU23" s="3">
        <f t="shared" si="19"/>
        <v>0</v>
      </c>
      <c r="AV23" s="3">
        <f t="shared" si="20"/>
        <v>0</v>
      </c>
      <c r="AW23" s="3">
        <f t="shared" si="21"/>
        <v>0</v>
      </c>
      <c r="AX23" s="3">
        <f t="shared" si="22"/>
        <v>0</v>
      </c>
      <c r="AY23" s="3">
        <f t="shared" si="23"/>
        <v>0</v>
      </c>
      <c r="AZ23" t="b">
        <f t="shared" si="24"/>
        <v>0</v>
      </c>
      <c r="BA23" t="b">
        <f>OR(AND(F23="Checking",Setup!$B$8&lt;&gt;"None"),AND(F23="Savings",Setup!$B$8="Combined"))</f>
        <v>0</v>
      </c>
      <c r="BB23" t="b">
        <f>OR(AND(G23="Checking",Setup!$B$8&lt;&gt;"None"),AND(G23="Savings",Setup!$B$8="Combined"))</f>
        <v>0</v>
      </c>
      <c r="BC23" t="b">
        <f t="shared" si="25"/>
        <v>0</v>
      </c>
      <c r="BD23" s="3">
        <f t="shared" si="26"/>
        <v>0</v>
      </c>
    </row>
    <row r="24" spans="1:56" ht="63.95" customHeight="1" x14ac:dyDescent="0.25">
      <c r="A24" s="4"/>
      <c r="B24" s="7"/>
      <c r="C24" s="4"/>
      <c r="D24" s="4"/>
      <c r="E24" s="2"/>
      <c r="F24" s="4"/>
      <c r="G24" s="4"/>
      <c r="H24" s="4"/>
      <c r="I24" s="4"/>
      <c r="J24" s="4"/>
      <c r="K24" s="2"/>
      <c r="L24" s="2"/>
      <c r="M24" s="4"/>
      <c r="N24" s="4"/>
      <c r="O24" s="4"/>
      <c r="P24" s="4"/>
      <c r="Q24" t="str">
        <f>IFERROR(IF(AND(T24=1,SUMPRODUCT(--($B$5:B23&gt;B24),$T$5:T23)&gt;0),"CHECK CASH DATE ORDER",IF(COUNTA(A24:P24)=0,"UNUSED",IF(OR(A24="",NOT(ISNUMBER(B24)),NOT(ISNUMBER(E24)),E24&lt;0,COUNTIF($A$5:$A$64,A24)&lt;&gt;1,AND(C24&lt;&gt;"Confirmed",C24&lt;&gt;"Disputed",C24&lt;&gt;"Expected",C24&lt;&gt;"Historical"),AND(N24&lt;&gt;"Cash + allocation",N24&lt;&gt;"Cash only",N24&lt;&gt;"Allocation only"),LEN(TRIM(P24))=0),"CHECK ID / AMOUNT / STATUS",IF(C24="Expected","EXPECTED — EXCLUDED",IF(C24="Historical",IF(B24&lt;Setup!$B$6,"HISTORICAL — NO CASH","CHECK HISTORICAL DATE"),IF(OR(B24&lt;Setup!$B$6,B24&gt;Setup!$B$7,AND(D24="Expense",OR(AND(F24&lt;&gt;"A",F24&lt;&gt;"B",F24&lt;&gt;"Checking",F24&lt;&gt;"Savings"),G24&lt;&gt;"Merchant")),AND(D24="Refund",OR(F24&lt;&gt;"Merchant",AND(G24&lt;&gt;"A",G24&lt;&gt;"B",G24&lt;&gt;"Checking",G24&lt;&gt;"Savings"))),AND(D24="Contribution",OR(AND(F24&lt;&gt;"A",F24&lt;&gt;"B"),NOT(OR(G24="Checking",G24="Savings")))),AND(D24="ReturnContribution",OR(NOT(OR(F24="Checking",F24="Savings")),AND(G24&lt;&gt;"A",G24&lt;&gt;"B"))),AND(OR(D24="Settlement",D24="PersonalSupport"),OR(AND(M24&lt;&gt;"A",M24&lt;&gt;"B"),IF(M24="A",G24&lt;&gt;"B",G24&lt;&gt;"A"),AND(NOT(OR(F24="Checking",F24="Savings")),F24&lt;&gt;M24))),AND(OR(D24="InternalTransfer",D24="BoundaryTransfer"),OR(NOT(OR(F24="Checking",F24="Savings")),NOT(OR(G24="Checking",G24="Savings")),F24=G24)),AND(D24&lt;&gt;"Expense",D24&lt;&gt;"Refund",D24&lt;&gt;"Contribution",D24&lt;&gt;"ReturnContribution",D24&lt;&gt;"Settlement",D24&lt;&gt;"PersonalSupport",D24&lt;&gt;"InternalTransfer",D24&lt;&gt;"BoundaryTransfer"),AND(Setup!$B$8="None",OR(OR(F24="Checking",F24="Savings"),OR(G24="Checking",G24="Savings"))),AND(Setup!$B$8="Checking",Setup!$B$23&lt;&gt;"Active",OR(F24="Savings",G24="Savings")),AND(T24=1,MIN(AI24:AJ24)&lt; -0.005),AND(N24="Cash only",D24&lt;&gt;"Expense"),AND(N24="Allocation only",D24&lt;&gt;"Expense")),"CHECK CASH / SCOPE","READY")))))),"CHECK INVALID INPUT")</f>
        <v>UNUSED</v>
      </c>
      <c r="R24" t="str">
        <f>IFERROR(IF(AND(C24="Historical",D24="Expense",OR(IFERROR(INDEX(Agreements!$Z$5:$Z$16,MATCH(H24,Agreements!$A$5:$A$16,0)),"MISSING")&lt;&gt;"READY",B24&lt;IFERROR(INDEX(Agreements!$C$5:$C$16,MATCH(H24,Agreements!$A$5:$A$16,0)),0),B24&gt;IFERROR(INDEX(Agreements!$D$5:$D$16,MATCH(H24,Agreements!$A$5:$A$16,0)),0))),"CHECK HISTORICAL AGREEMENT",IF(AND(C24="Confirmed",D24="Refund",AND(IFERROR(INDEX($C$5:$C$64,MATCH(I24,$A$5:$A$64,0)),"")&lt;&gt;"Confirmed",IFERROR(INDEX($C$5:$C$64,MATCH(I24,$A$5:$A$64,0)),"")&lt;&gt;"Historical")),"CHECK REFUND SOURCE STATUS",IF(COUNTA(A24:P24)=0,"UNUSED",IF(OR(C24="Expected",C24="Historical"),"NOT CURRENT",IF(C24="Disputed","DISPUTED — CLOSE PENDING",IF(N24="Cash only",IF(ABS(BD24-E24)&lt;0.005,"READY","CHECK ALLOCATION TOTAL"),IF(OR(D24="Expense",D24="Refund"),IF(OR(IFERROR(INDEX(Agreements!$Z$5:$Z$16,MATCH(H24,Agreements!$A$5:$A$16,0)),0)&lt;&gt;"READY",AND(D24="Expense",OR(B24&lt;IFERROR(INDEX(Agreements!$C$5:$C$16,MATCH(H24,Agreements!$A$5:$A$16,0)),0),B24&gt;IFERROR(INDEX(Agreements!$D$5:$D$16,MATCH(H24,Agreements!$A$5:$A$16,0)),0))),AND(D24="Refund",OR(IFERROR(INDEX($D$5:$D$64,MATCH(I24,$A$5:$A$64,0)),"")&lt;&gt;"Expense",IFERROR(INDEX($H$5:$H$64,MATCH(I24,$A$5:$A$64,0)),"")&lt;&gt;H24,SUMIFS($E$5:$E$64,$I$5:$I$64,I24,$D$5:$D$64,"Refund",$C$5:$C$64,"&lt;&gt;Expected")&gt;N(IFERROR(INDEX($E$5:$E$64,MATCH(I24,$A$5:$A$64,0)),""))+0.005,I24="")),AND(N24="Allocation only",OR(O24="",IFERROR(INDEX($F$5:$F$64,MATCH(O24,$A$5:$A$64,0)),"")&lt;&gt;F24,IFERROR(INDEX($N$5:$N$64,MATCH(O24,$A$5:$A$64,0)),"")&lt;&gt;"Cash only")),AND(Setup!$B$8="Checking",OR(F24="Savings",G24="Savings"))),"CHECK AGREEMENT / REFUND / SCOPE","READY"),"READY"))))))),"CHECK INVALID INPUT")</f>
        <v>UNUSED</v>
      </c>
      <c r="S24" t="str">
        <f t="shared" si="27"/>
        <v>UNUSED</v>
      </c>
      <c r="T24">
        <f t="shared" si="0"/>
        <v>0</v>
      </c>
      <c r="U24">
        <f t="shared" si="1"/>
        <v>0</v>
      </c>
      <c r="V24">
        <f>IFERROR(MATCH(H24,Agreements!$A$5:$A$16,0),0)</f>
        <v>0</v>
      </c>
      <c r="W24" s="6">
        <f>IF(D24="Refund",IFERROR(INDEX(Agreements!$AA$5:$AA$16,MATCH(IFERROR(INDEX($H$5:$H$64,MATCH(I24,$A$5:$A$64,0)),""),Agreements!$A$5:$A$16,0)),0),IFERROR(INDEX(Agreements!$AA$5:$AA$16,MATCH(H24,Agreements!$A$5:$A$16,0)),0))</f>
        <v>0</v>
      </c>
      <c r="X24" s="3">
        <f t="shared" si="2"/>
        <v>0</v>
      </c>
      <c r="Y24" s="3">
        <f t="shared" si="3"/>
        <v>0</v>
      </c>
      <c r="Z24" s="3">
        <f t="shared" si="4"/>
        <v>0</v>
      </c>
      <c r="AA24" s="3">
        <f t="shared" si="5"/>
        <v>0</v>
      </c>
      <c r="AB24" s="3">
        <f t="shared" si="6"/>
        <v>0</v>
      </c>
      <c r="AC24" s="3">
        <f t="shared" si="7"/>
        <v>0</v>
      </c>
      <c r="AD24" s="3">
        <f t="shared" si="8"/>
        <v>0</v>
      </c>
      <c r="AE24" s="3">
        <f t="shared" si="9"/>
        <v>0</v>
      </c>
      <c r="AF24" s="3">
        <f t="shared" si="10"/>
        <v>0</v>
      </c>
      <c r="AG24" s="3">
        <f t="shared" si="11"/>
        <v>0</v>
      </c>
      <c r="AH24" s="3">
        <f t="shared" si="12"/>
        <v>0</v>
      </c>
      <c r="AI24" s="3">
        <f>N(Setup!$B$12)+SUM(AC$5:AC24)</f>
        <v>0</v>
      </c>
      <c r="AJ24" s="3">
        <f>N(Setup!$B$18)+SUM(AD$5:AD24)</f>
        <v>0</v>
      </c>
      <c r="AK24" s="3">
        <f>N(Setup!$B$13)+SUM(AE$5:AE24)</f>
        <v>0</v>
      </c>
      <c r="AL24" s="3">
        <f>N(Setup!$B$14)+SUM(AF$5:AF24)</f>
        <v>0</v>
      </c>
      <c r="AM24" s="3">
        <f>N(Setup!$B$19)+SUM(AG$5:AG24)</f>
        <v>0</v>
      </c>
      <c r="AN24" s="3">
        <f>N(Setup!$B$20)+SUM(AH$5:AH24)</f>
        <v>0</v>
      </c>
      <c r="AO24" s="3">
        <f t="shared" si="13"/>
        <v>0</v>
      </c>
      <c r="AP24" s="3">
        <f t="shared" si="14"/>
        <v>0</v>
      </c>
      <c r="AQ24" s="3">
        <f t="shared" si="15"/>
        <v>0</v>
      </c>
      <c r="AR24" s="3">
        <f t="shared" si="16"/>
        <v>0</v>
      </c>
      <c r="AS24" s="3">
        <f t="shared" si="17"/>
        <v>0</v>
      </c>
      <c r="AT24" s="3">
        <f t="shared" si="18"/>
        <v>0</v>
      </c>
      <c r="AU24" s="3">
        <f t="shared" si="19"/>
        <v>0</v>
      </c>
      <c r="AV24" s="3">
        <f t="shared" si="20"/>
        <v>0</v>
      </c>
      <c r="AW24" s="3">
        <f t="shared" si="21"/>
        <v>0</v>
      </c>
      <c r="AX24" s="3">
        <f t="shared" si="22"/>
        <v>0</v>
      </c>
      <c r="AY24" s="3">
        <f t="shared" si="23"/>
        <v>0</v>
      </c>
      <c r="AZ24" t="b">
        <f t="shared" si="24"/>
        <v>0</v>
      </c>
      <c r="BA24" t="b">
        <f>OR(AND(F24="Checking",Setup!$B$8&lt;&gt;"None"),AND(F24="Savings",Setup!$B$8="Combined"))</f>
        <v>0</v>
      </c>
      <c r="BB24" t="b">
        <f>OR(AND(G24="Checking",Setup!$B$8&lt;&gt;"None"),AND(G24="Savings",Setup!$B$8="Combined"))</f>
        <v>0</v>
      </c>
      <c r="BC24" t="b">
        <f t="shared" si="25"/>
        <v>0</v>
      </c>
      <c r="BD24" s="3">
        <f t="shared" si="26"/>
        <v>0</v>
      </c>
    </row>
    <row r="25" spans="1:56" ht="63.95" customHeight="1" x14ac:dyDescent="0.25">
      <c r="A25" s="4"/>
      <c r="B25" s="7"/>
      <c r="C25" s="4"/>
      <c r="D25" s="4"/>
      <c r="E25" s="2"/>
      <c r="F25" s="4"/>
      <c r="G25" s="4"/>
      <c r="H25" s="4"/>
      <c r="I25" s="4"/>
      <c r="J25" s="4"/>
      <c r="K25" s="2"/>
      <c r="L25" s="2"/>
      <c r="M25" s="4"/>
      <c r="N25" s="4"/>
      <c r="O25" s="4"/>
      <c r="P25" s="4"/>
      <c r="Q25" t="str">
        <f>IFERROR(IF(AND(T25=1,SUMPRODUCT(--($B$5:B24&gt;B25),$T$5:T24)&gt;0),"CHECK CASH DATE ORDER",IF(COUNTA(A25:P25)=0,"UNUSED",IF(OR(A25="",NOT(ISNUMBER(B25)),NOT(ISNUMBER(E25)),E25&lt;0,COUNTIF($A$5:$A$64,A25)&lt;&gt;1,AND(C25&lt;&gt;"Confirmed",C25&lt;&gt;"Disputed",C25&lt;&gt;"Expected",C25&lt;&gt;"Historical"),AND(N25&lt;&gt;"Cash + allocation",N25&lt;&gt;"Cash only",N25&lt;&gt;"Allocation only"),LEN(TRIM(P25))=0),"CHECK ID / AMOUNT / STATUS",IF(C25="Expected","EXPECTED — EXCLUDED",IF(C25="Historical",IF(B25&lt;Setup!$B$6,"HISTORICAL — NO CASH","CHECK HISTORICAL DATE"),IF(OR(B25&lt;Setup!$B$6,B25&gt;Setup!$B$7,AND(D25="Expense",OR(AND(F25&lt;&gt;"A",F25&lt;&gt;"B",F25&lt;&gt;"Checking",F25&lt;&gt;"Savings"),G25&lt;&gt;"Merchant")),AND(D25="Refund",OR(F25&lt;&gt;"Merchant",AND(G25&lt;&gt;"A",G25&lt;&gt;"B",G25&lt;&gt;"Checking",G25&lt;&gt;"Savings"))),AND(D25="Contribution",OR(AND(F25&lt;&gt;"A",F25&lt;&gt;"B"),NOT(OR(G25="Checking",G25="Savings")))),AND(D25="ReturnContribution",OR(NOT(OR(F25="Checking",F25="Savings")),AND(G25&lt;&gt;"A",G25&lt;&gt;"B"))),AND(OR(D25="Settlement",D25="PersonalSupport"),OR(AND(M25&lt;&gt;"A",M25&lt;&gt;"B"),IF(M25="A",G25&lt;&gt;"B",G25&lt;&gt;"A"),AND(NOT(OR(F25="Checking",F25="Savings")),F25&lt;&gt;M25))),AND(OR(D25="InternalTransfer",D25="BoundaryTransfer"),OR(NOT(OR(F25="Checking",F25="Savings")),NOT(OR(G25="Checking",G25="Savings")),F25=G25)),AND(D25&lt;&gt;"Expense",D25&lt;&gt;"Refund",D25&lt;&gt;"Contribution",D25&lt;&gt;"ReturnContribution",D25&lt;&gt;"Settlement",D25&lt;&gt;"PersonalSupport",D25&lt;&gt;"InternalTransfer",D25&lt;&gt;"BoundaryTransfer"),AND(Setup!$B$8="None",OR(OR(F25="Checking",F25="Savings"),OR(G25="Checking",G25="Savings"))),AND(Setup!$B$8="Checking",Setup!$B$23&lt;&gt;"Active",OR(F25="Savings",G25="Savings")),AND(T25=1,MIN(AI25:AJ25)&lt; -0.005),AND(N25="Cash only",D25&lt;&gt;"Expense"),AND(N25="Allocation only",D25&lt;&gt;"Expense")),"CHECK CASH / SCOPE","READY")))))),"CHECK INVALID INPUT")</f>
        <v>UNUSED</v>
      </c>
      <c r="R25" t="str">
        <f>IFERROR(IF(AND(C25="Historical",D25="Expense",OR(IFERROR(INDEX(Agreements!$Z$5:$Z$16,MATCH(H25,Agreements!$A$5:$A$16,0)),"MISSING")&lt;&gt;"READY",B25&lt;IFERROR(INDEX(Agreements!$C$5:$C$16,MATCH(H25,Agreements!$A$5:$A$16,0)),0),B25&gt;IFERROR(INDEX(Agreements!$D$5:$D$16,MATCH(H25,Agreements!$A$5:$A$16,0)),0))),"CHECK HISTORICAL AGREEMENT",IF(AND(C25="Confirmed",D25="Refund",AND(IFERROR(INDEX($C$5:$C$64,MATCH(I25,$A$5:$A$64,0)),"")&lt;&gt;"Confirmed",IFERROR(INDEX($C$5:$C$64,MATCH(I25,$A$5:$A$64,0)),"")&lt;&gt;"Historical")),"CHECK REFUND SOURCE STATUS",IF(COUNTA(A25:P25)=0,"UNUSED",IF(OR(C25="Expected",C25="Historical"),"NOT CURRENT",IF(C25="Disputed","DISPUTED — CLOSE PENDING",IF(N25="Cash only",IF(ABS(BD25-E25)&lt;0.005,"READY","CHECK ALLOCATION TOTAL"),IF(OR(D25="Expense",D25="Refund"),IF(OR(IFERROR(INDEX(Agreements!$Z$5:$Z$16,MATCH(H25,Agreements!$A$5:$A$16,0)),0)&lt;&gt;"READY",AND(D25="Expense",OR(B25&lt;IFERROR(INDEX(Agreements!$C$5:$C$16,MATCH(H25,Agreements!$A$5:$A$16,0)),0),B25&gt;IFERROR(INDEX(Agreements!$D$5:$D$16,MATCH(H25,Agreements!$A$5:$A$16,0)),0))),AND(D25="Refund",OR(IFERROR(INDEX($D$5:$D$64,MATCH(I25,$A$5:$A$64,0)),"")&lt;&gt;"Expense",IFERROR(INDEX($H$5:$H$64,MATCH(I25,$A$5:$A$64,0)),"")&lt;&gt;H25,SUMIFS($E$5:$E$64,$I$5:$I$64,I25,$D$5:$D$64,"Refund",$C$5:$C$64,"&lt;&gt;Expected")&gt;N(IFERROR(INDEX($E$5:$E$64,MATCH(I25,$A$5:$A$64,0)),""))+0.005,I25="")),AND(N25="Allocation only",OR(O25="",IFERROR(INDEX($F$5:$F$64,MATCH(O25,$A$5:$A$64,0)),"")&lt;&gt;F25,IFERROR(INDEX($N$5:$N$64,MATCH(O25,$A$5:$A$64,0)),"")&lt;&gt;"Cash only")),AND(Setup!$B$8="Checking",OR(F25="Savings",G25="Savings"))),"CHECK AGREEMENT / REFUND / SCOPE","READY"),"READY"))))))),"CHECK INVALID INPUT")</f>
        <v>UNUSED</v>
      </c>
      <c r="S25" t="str">
        <f t="shared" si="27"/>
        <v>UNUSED</v>
      </c>
      <c r="T25">
        <f t="shared" si="0"/>
        <v>0</v>
      </c>
      <c r="U25">
        <f t="shared" si="1"/>
        <v>0</v>
      </c>
      <c r="V25">
        <f>IFERROR(MATCH(H25,Agreements!$A$5:$A$16,0),0)</f>
        <v>0</v>
      </c>
      <c r="W25" s="6">
        <f>IF(D25="Refund",IFERROR(INDEX(Agreements!$AA$5:$AA$16,MATCH(IFERROR(INDEX($H$5:$H$64,MATCH(I25,$A$5:$A$64,0)),""),Agreements!$A$5:$A$16,0)),0),IFERROR(INDEX(Agreements!$AA$5:$AA$16,MATCH(H25,Agreements!$A$5:$A$16,0)),0))</f>
        <v>0</v>
      </c>
      <c r="X25" s="3">
        <f t="shared" si="2"/>
        <v>0</v>
      </c>
      <c r="Y25" s="3">
        <f t="shared" si="3"/>
        <v>0</v>
      </c>
      <c r="Z25" s="3">
        <f t="shared" si="4"/>
        <v>0</v>
      </c>
      <c r="AA25" s="3">
        <f t="shared" si="5"/>
        <v>0</v>
      </c>
      <c r="AB25" s="3">
        <f t="shared" si="6"/>
        <v>0</v>
      </c>
      <c r="AC25" s="3">
        <f t="shared" si="7"/>
        <v>0</v>
      </c>
      <c r="AD25" s="3">
        <f t="shared" si="8"/>
        <v>0</v>
      </c>
      <c r="AE25" s="3">
        <f t="shared" si="9"/>
        <v>0</v>
      </c>
      <c r="AF25" s="3">
        <f t="shared" si="10"/>
        <v>0</v>
      </c>
      <c r="AG25" s="3">
        <f t="shared" si="11"/>
        <v>0</v>
      </c>
      <c r="AH25" s="3">
        <f t="shared" si="12"/>
        <v>0</v>
      </c>
      <c r="AI25" s="3">
        <f>N(Setup!$B$12)+SUM(AC$5:AC25)</f>
        <v>0</v>
      </c>
      <c r="AJ25" s="3">
        <f>N(Setup!$B$18)+SUM(AD$5:AD25)</f>
        <v>0</v>
      </c>
      <c r="AK25" s="3">
        <f>N(Setup!$B$13)+SUM(AE$5:AE25)</f>
        <v>0</v>
      </c>
      <c r="AL25" s="3">
        <f>N(Setup!$B$14)+SUM(AF$5:AF25)</f>
        <v>0</v>
      </c>
      <c r="AM25" s="3">
        <f>N(Setup!$B$19)+SUM(AG$5:AG25)</f>
        <v>0</v>
      </c>
      <c r="AN25" s="3">
        <f>N(Setup!$B$20)+SUM(AH$5:AH25)</f>
        <v>0</v>
      </c>
      <c r="AO25" s="3">
        <f t="shared" si="13"/>
        <v>0</v>
      </c>
      <c r="AP25" s="3">
        <f t="shared" si="14"/>
        <v>0</v>
      </c>
      <c r="AQ25" s="3">
        <f t="shared" si="15"/>
        <v>0</v>
      </c>
      <c r="AR25" s="3">
        <f t="shared" si="16"/>
        <v>0</v>
      </c>
      <c r="AS25" s="3">
        <f t="shared" si="17"/>
        <v>0</v>
      </c>
      <c r="AT25" s="3">
        <f t="shared" si="18"/>
        <v>0</v>
      </c>
      <c r="AU25" s="3">
        <f t="shared" si="19"/>
        <v>0</v>
      </c>
      <c r="AV25" s="3">
        <f t="shared" si="20"/>
        <v>0</v>
      </c>
      <c r="AW25" s="3">
        <f t="shared" si="21"/>
        <v>0</v>
      </c>
      <c r="AX25" s="3">
        <f t="shared" si="22"/>
        <v>0</v>
      </c>
      <c r="AY25" s="3">
        <f t="shared" si="23"/>
        <v>0</v>
      </c>
      <c r="AZ25" t="b">
        <f t="shared" si="24"/>
        <v>0</v>
      </c>
      <c r="BA25" t="b">
        <f>OR(AND(F25="Checking",Setup!$B$8&lt;&gt;"None"),AND(F25="Savings",Setup!$B$8="Combined"))</f>
        <v>0</v>
      </c>
      <c r="BB25" t="b">
        <f>OR(AND(G25="Checking",Setup!$B$8&lt;&gt;"None"),AND(G25="Savings",Setup!$B$8="Combined"))</f>
        <v>0</v>
      </c>
      <c r="BC25" t="b">
        <f t="shared" si="25"/>
        <v>0</v>
      </c>
      <c r="BD25" s="3">
        <f t="shared" si="26"/>
        <v>0</v>
      </c>
    </row>
    <row r="26" spans="1:56" ht="63.95" customHeight="1" x14ac:dyDescent="0.25">
      <c r="A26" s="4"/>
      <c r="B26" s="7"/>
      <c r="C26" s="4"/>
      <c r="D26" s="4"/>
      <c r="E26" s="2"/>
      <c r="F26" s="4"/>
      <c r="G26" s="4"/>
      <c r="H26" s="4"/>
      <c r="I26" s="4"/>
      <c r="J26" s="4"/>
      <c r="K26" s="2"/>
      <c r="L26" s="2"/>
      <c r="M26" s="4"/>
      <c r="N26" s="4"/>
      <c r="O26" s="4"/>
      <c r="P26" s="4"/>
      <c r="Q26" t="str">
        <f>IFERROR(IF(AND(T26=1,SUMPRODUCT(--($B$5:B25&gt;B26),$T$5:T25)&gt;0),"CHECK CASH DATE ORDER",IF(COUNTA(A26:P26)=0,"UNUSED",IF(OR(A26="",NOT(ISNUMBER(B26)),NOT(ISNUMBER(E26)),E26&lt;0,COUNTIF($A$5:$A$64,A26)&lt;&gt;1,AND(C26&lt;&gt;"Confirmed",C26&lt;&gt;"Disputed",C26&lt;&gt;"Expected",C26&lt;&gt;"Historical"),AND(N26&lt;&gt;"Cash + allocation",N26&lt;&gt;"Cash only",N26&lt;&gt;"Allocation only"),LEN(TRIM(P26))=0),"CHECK ID / AMOUNT / STATUS",IF(C26="Expected","EXPECTED — EXCLUDED",IF(C26="Historical",IF(B26&lt;Setup!$B$6,"HISTORICAL — NO CASH","CHECK HISTORICAL DATE"),IF(OR(B26&lt;Setup!$B$6,B26&gt;Setup!$B$7,AND(D26="Expense",OR(AND(F26&lt;&gt;"A",F26&lt;&gt;"B",F26&lt;&gt;"Checking",F26&lt;&gt;"Savings"),G26&lt;&gt;"Merchant")),AND(D26="Refund",OR(F26&lt;&gt;"Merchant",AND(G26&lt;&gt;"A",G26&lt;&gt;"B",G26&lt;&gt;"Checking",G26&lt;&gt;"Savings"))),AND(D26="Contribution",OR(AND(F26&lt;&gt;"A",F26&lt;&gt;"B"),NOT(OR(G26="Checking",G26="Savings")))),AND(D26="ReturnContribution",OR(NOT(OR(F26="Checking",F26="Savings")),AND(G26&lt;&gt;"A",G26&lt;&gt;"B"))),AND(OR(D26="Settlement",D26="PersonalSupport"),OR(AND(M26&lt;&gt;"A",M26&lt;&gt;"B"),IF(M26="A",G26&lt;&gt;"B",G26&lt;&gt;"A"),AND(NOT(OR(F26="Checking",F26="Savings")),F26&lt;&gt;M26))),AND(OR(D26="InternalTransfer",D26="BoundaryTransfer"),OR(NOT(OR(F26="Checking",F26="Savings")),NOT(OR(G26="Checking",G26="Savings")),F26=G26)),AND(D26&lt;&gt;"Expense",D26&lt;&gt;"Refund",D26&lt;&gt;"Contribution",D26&lt;&gt;"ReturnContribution",D26&lt;&gt;"Settlement",D26&lt;&gt;"PersonalSupport",D26&lt;&gt;"InternalTransfer",D26&lt;&gt;"BoundaryTransfer"),AND(Setup!$B$8="None",OR(OR(F26="Checking",F26="Savings"),OR(G26="Checking",G26="Savings"))),AND(Setup!$B$8="Checking",Setup!$B$23&lt;&gt;"Active",OR(F26="Savings",G26="Savings")),AND(T26=1,MIN(AI26:AJ26)&lt; -0.005),AND(N26="Cash only",D26&lt;&gt;"Expense"),AND(N26="Allocation only",D26&lt;&gt;"Expense")),"CHECK CASH / SCOPE","READY")))))),"CHECK INVALID INPUT")</f>
        <v>UNUSED</v>
      </c>
      <c r="R26" t="str">
        <f>IFERROR(IF(AND(C26="Historical",D26="Expense",OR(IFERROR(INDEX(Agreements!$Z$5:$Z$16,MATCH(H26,Agreements!$A$5:$A$16,0)),"MISSING")&lt;&gt;"READY",B26&lt;IFERROR(INDEX(Agreements!$C$5:$C$16,MATCH(H26,Agreements!$A$5:$A$16,0)),0),B26&gt;IFERROR(INDEX(Agreements!$D$5:$D$16,MATCH(H26,Agreements!$A$5:$A$16,0)),0))),"CHECK HISTORICAL AGREEMENT",IF(AND(C26="Confirmed",D26="Refund",AND(IFERROR(INDEX($C$5:$C$64,MATCH(I26,$A$5:$A$64,0)),"")&lt;&gt;"Confirmed",IFERROR(INDEX($C$5:$C$64,MATCH(I26,$A$5:$A$64,0)),"")&lt;&gt;"Historical")),"CHECK REFUND SOURCE STATUS",IF(COUNTA(A26:P26)=0,"UNUSED",IF(OR(C26="Expected",C26="Historical"),"NOT CURRENT",IF(C26="Disputed","DISPUTED — CLOSE PENDING",IF(N26="Cash only",IF(ABS(BD26-E26)&lt;0.005,"READY","CHECK ALLOCATION TOTAL"),IF(OR(D26="Expense",D26="Refund"),IF(OR(IFERROR(INDEX(Agreements!$Z$5:$Z$16,MATCH(H26,Agreements!$A$5:$A$16,0)),0)&lt;&gt;"READY",AND(D26="Expense",OR(B26&lt;IFERROR(INDEX(Agreements!$C$5:$C$16,MATCH(H26,Agreements!$A$5:$A$16,0)),0),B26&gt;IFERROR(INDEX(Agreements!$D$5:$D$16,MATCH(H26,Agreements!$A$5:$A$16,0)),0))),AND(D26="Refund",OR(IFERROR(INDEX($D$5:$D$64,MATCH(I26,$A$5:$A$64,0)),"")&lt;&gt;"Expense",IFERROR(INDEX($H$5:$H$64,MATCH(I26,$A$5:$A$64,0)),"")&lt;&gt;H26,SUMIFS($E$5:$E$64,$I$5:$I$64,I26,$D$5:$D$64,"Refund",$C$5:$C$64,"&lt;&gt;Expected")&gt;N(IFERROR(INDEX($E$5:$E$64,MATCH(I26,$A$5:$A$64,0)),""))+0.005,I26="")),AND(N26="Allocation only",OR(O26="",IFERROR(INDEX($F$5:$F$64,MATCH(O26,$A$5:$A$64,0)),"")&lt;&gt;F26,IFERROR(INDEX($N$5:$N$64,MATCH(O26,$A$5:$A$64,0)),"")&lt;&gt;"Cash only")),AND(Setup!$B$8="Checking",OR(F26="Savings",G26="Savings"))),"CHECK AGREEMENT / REFUND / SCOPE","READY"),"READY"))))))),"CHECK INVALID INPUT")</f>
        <v>UNUSED</v>
      </c>
      <c r="S26" t="str">
        <f t="shared" si="27"/>
        <v>UNUSED</v>
      </c>
      <c r="T26">
        <f t="shared" si="0"/>
        <v>0</v>
      </c>
      <c r="U26">
        <f t="shared" si="1"/>
        <v>0</v>
      </c>
      <c r="V26">
        <f>IFERROR(MATCH(H26,Agreements!$A$5:$A$16,0),0)</f>
        <v>0</v>
      </c>
      <c r="W26" s="6">
        <f>IF(D26="Refund",IFERROR(INDEX(Agreements!$AA$5:$AA$16,MATCH(IFERROR(INDEX($H$5:$H$64,MATCH(I26,$A$5:$A$64,0)),""),Agreements!$A$5:$A$16,0)),0),IFERROR(INDEX(Agreements!$AA$5:$AA$16,MATCH(H26,Agreements!$A$5:$A$16,0)),0))</f>
        <v>0</v>
      </c>
      <c r="X26" s="3">
        <f t="shared" si="2"/>
        <v>0</v>
      </c>
      <c r="Y26" s="3">
        <f t="shared" si="3"/>
        <v>0</v>
      </c>
      <c r="Z26" s="3">
        <f t="shared" si="4"/>
        <v>0</v>
      </c>
      <c r="AA26" s="3">
        <f t="shared" si="5"/>
        <v>0</v>
      </c>
      <c r="AB26" s="3">
        <f t="shared" si="6"/>
        <v>0</v>
      </c>
      <c r="AC26" s="3">
        <f t="shared" si="7"/>
        <v>0</v>
      </c>
      <c r="AD26" s="3">
        <f t="shared" si="8"/>
        <v>0</v>
      </c>
      <c r="AE26" s="3">
        <f t="shared" si="9"/>
        <v>0</v>
      </c>
      <c r="AF26" s="3">
        <f t="shared" si="10"/>
        <v>0</v>
      </c>
      <c r="AG26" s="3">
        <f t="shared" si="11"/>
        <v>0</v>
      </c>
      <c r="AH26" s="3">
        <f t="shared" si="12"/>
        <v>0</v>
      </c>
      <c r="AI26" s="3">
        <f>N(Setup!$B$12)+SUM(AC$5:AC26)</f>
        <v>0</v>
      </c>
      <c r="AJ26" s="3">
        <f>N(Setup!$B$18)+SUM(AD$5:AD26)</f>
        <v>0</v>
      </c>
      <c r="AK26" s="3">
        <f>N(Setup!$B$13)+SUM(AE$5:AE26)</f>
        <v>0</v>
      </c>
      <c r="AL26" s="3">
        <f>N(Setup!$B$14)+SUM(AF$5:AF26)</f>
        <v>0</v>
      </c>
      <c r="AM26" s="3">
        <f>N(Setup!$B$19)+SUM(AG$5:AG26)</f>
        <v>0</v>
      </c>
      <c r="AN26" s="3">
        <f>N(Setup!$B$20)+SUM(AH$5:AH26)</f>
        <v>0</v>
      </c>
      <c r="AO26" s="3">
        <f t="shared" si="13"/>
        <v>0</v>
      </c>
      <c r="AP26" s="3">
        <f t="shared" si="14"/>
        <v>0</v>
      </c>
      <c r="AQ26" s="3">
        <f t="shared" si="15"/>
        <v>0</v>
      </c>
      <c r="AR26" s="3">
        <f t="shared" si="16"/>
        <v>0</v>
      </c>
      <c r="AS26" s="3">
        <f t="shared" si="17"/>
        <v>0</v>
      </c>
      <c r="AT26" s="3">
        <f t="shared" si="18"/>
        <v>0</v>
      </c>
      <c r="AU26" s="3">
        <f t="shared" si="19"/>
        <v>0</v>
      </c>
      <c r="AV26" s="3">
        <f t="shared" si="20"/>
        <v>0</v>
      </c>
      <c r="AW26" s="3">
        <f t="shared" si="21"/>
        <v>0</v>
      </c>
      <c r="AX26" s="3">
        <f t="shared" si="22"/>
        <v>0</v>
      </c>
      <c r="AY26" s="3">
        <f t="shared" si="23"/>
        <v>0</v>
      </c>
      <c r="AZ26" t="b">
        <f t="shared" si="24"/>
        <v>0</v>
      </c>
      <c r="BA26" t="b">
        <f>OR(AND(F26="Checking",Setup!$B$8&lt;&gt;"None"),AND(F26="Savings",Setup!$B$8="Combined"))</f>
        <v>0</v>
      </c>
      <c r="BB26" t="b">
        <f>OR(AND(G26="Checking",Setup!$B$8&lt;&gt;"None"),AND(G26="Savings",Setup!$B$8="Combined"))</f>
        <v>0</v>
      </c>
      <c r="BC26" t="b">
        <f t="shared" si="25"/>
        <v>0</v>
      </c>
      <c r="BD26" s="3">
        <f t="shared" si="26"/>
        <v>0</v>
      </c>
    </row>
    <row r="27" spans="1:56" ht="63.95" customHeight="1" x14ac:dyDescent="0.25">
      <c r="A27" s="4"/>
      <c r="B27" s="7"/>
      <c r="C27" s="4"/>
      <c r="D27" s="4"/>
      <c r="E27" s="2"/>
      <c r="F27" s="4"/>
      <c r="G27" s="4"/>
      <c r="H27" s="4"/>
      <c r="I27" s="4"/>
      <c r="J27" s="4"/>
      <c r="K27" s="2"/>
      <c r="L27" s="2"/>
      <c r="M27" s="4"/>
      <c r="N27" s="4"/>
      <c r="O27" s="4"/>
      <c r="P27" s="4"/>
      <c r="Q27" t="str">
        <f>IFERROR(IF(AND(T27=1,SUMPRODUCT(--($B$5:B26&gt;B27),$T$5:T26)&gt;0),"CHECK CASH DATE ORDER",IF(COUNTA(A27:P27)=0,"UNUSED",IF(OR(A27="",NOT(ISNUMBER(B27)),NOT(ISNUMBER(E27)),E27&lt;0,COUNTIF($A$5:$A$64,A27)&lt;&gt;1,AND(C27&lt;&gt;"Confirmed",C27&lt;&gt;"Disputed",C27&lt;&gt;"Expected",C27&lt;&gt;"Historical"),AND(N27&lt;&gt;"Cash + allocation",N27&lt;&gt;"Cash only",N27&lt;&gt;"Allocation only"),LEN(TRIM(P27))=0),"CHECK ID / AMOUNT / STATUS",IF(C27="Expected","EXPECTED — EXCLUDED",IF(C27="Historical",IF(B27&lt;Setup!$B$6,"HISTORICAL — NO CASH","CHECK HISTORICAL DATE"),IF(OR(B27&lt;Setup!$B$6,B27&gt;Setup!$B$7,AND(D27="Expense",OR(AND(F27&lt;&gt;"A",F27&lt;&gt;"B",F27&lt;&gt;"Checking",F27&lt;&gt;"Savings"),G27&lt;&gt;"Merchant")),AND(D27="Refund",OR(F27&lt;&gt;"Merchant",AND(G27&lt;&gt;"A",G27&lt;&gt;"B",G27&lt;&gt;"Checking",G27&lt;&gt;"Savings"))),AND(D27="Contribution",OR(AND(F27&lt;&gt;"A",F27&lt;&gt;"B"),NOT(OR(G27="Checking",G27="Savings")))),AND(D27="ReturnContribution",OR(NOT(OR(F27="Checking",F27="Savings")),AND(G27&lt;&gt;"A",G27&lt;&gt;"B"))),AND(OR(D27="Settlement",D27="PersonalSupport"),OR(AND(M27&lt;&gt;"A",M27&lt;&gt;"B"),IF(M27="A",G27&lt;&gt;"B",G27&lt;&gt;"A"),AND(NOT(OR(F27="Checking",F27="Savings")),F27&lt;&gt;M27))),AND(OR(D27="InternalTransfer",D27="BoundaryTransfer"),OR(NOT(OR(F27="Checking",F27="Savings")),NOT(OR(G27="Checking",G27="Savings")),F27=G27)),AND(D27&lt;&gt;"Expense",D27&lt;&gt;"Refund",D27&lt;&gt;"Contribution",D27&lt;&gt;"ReturnContribution",D27&lt;&gt;"Settlement",D27&lt;&gt;"PersonalSupport",D27&lt;&gt;"InternalTransfer",D27&lt;&gt;"BoundaryTransfer"),AND(Setup!$B$8="None",OR(OR(F27="Checking",F27="Savings"),OR(G27="Checking",G27="Savings"))),AND(Setup!$B$8="Checking",Setup!$B$23&lt;&gt;"Active",OR(F27="Savings",G27="Savings")),AND(T27=1,MIN(AI27:AJ27)&lt; -0.005),AND(N27="Cash only",D27&lt;&gt;"Expense"),AND(N27="Allocation only",D27&lt;&gt;"Expense")),"CHECK CASH / SCOPE","READY")))))),"CHECK INVALID INPUT")</f>
        <v>UNUSED</v>
      </c>
      <c r="R27" t="str">
        <f>IFERROR(IF(AND(C27="Historical",D27="Expense",OR(IFERROR(INDEX(Agreements!$Z$5:$Z$16,MATCH(H27,Agreements!$A$5:$A$16,0)),"MISSING")&lt;&gt;"READY",B27&lt;IFERROR(INDEX(Agreements!$C$5:$C$16,MATCH(H27,Agreements!$A$5:$A$16,0)),0),B27&gt;IFERROR(INDEX(Agreements!$D$5:$D$16,MATCH(H27,Agreements!$A$5:$A$16,0)),0))),"CHECK HISTORICAL AGREEMENT",IF(AND(C27="Confirmed",D27="Refund",AND(IFERROR(INDEX($C$5:$C$64,MATCH(I27,$A$5:$A$64,0)),"")&lt;&gt;"Confirmed",IFERROR(INDEX($C$5:$C$64,MATCH(I27,$A$5:$A$64,0)),"")&lt;&gt;"Historical")),"CHECK REFUND SOURCE STATUS",IF(COUNTA(A27:P27)=0,"UNUSED",IF(OR(C27="Expected",C27="Historical"),"NOT CURRENT",IF(C27="Disputed","DISPUTED — CLOSE PENDING",IF(N27="Cash only",IF(ABS(BD27-E27)&lt;0.005,"READY","CHECK ALLOCATION TOTAL"),IF(OR(D27="Expense",D27="Refund"),IF(OR(IFERROR(INDEX(Agreements!$Z$5:$Z$16,MATCH(H27,Agreements!$A$5:$A$16,0)),0)&lt;&gt;"READY",AND(D27="Expense",OR(B27&lt;IFERROR(INDEX(Agreements!$C$5:$C$16,MATCH(H27,Agreements!$A$5:$A$16,0)),0),B27&gt;IFERROR(INDEX(Agreements!$D$5:$D$16,MATCH(H27,Agreements!$A$5:$A$16,0)),0))),AND(D27="Refund",OR(IFERROR(INDEX($D$5:$D$64,MATCH(I27,$A$5:$A$64,0)),"")&lt;&gt;"Expense",IFERROR(INDEX($H$5:$H$64,MATCH(I27,$A$5:$A$64,0)),"")&lt;&gt;H27,SUMIFS($E$5:$E$64,$I$5:$I$64,I27,$D$5:$D$64,"Refund",$C$5:$C$64,"&lt;&gt;Expected")&gt;N(IFERROR(INDEX($E$5:$E$64,MATCH(I27,$A$5:$A$64,0)),""))+0.005,I27="")),AND(N27="Allocation only",OR(O27="",IFERROR(INDEX($F$5:$F$64,MATCH(O27,$A$5:$A$64,0)),"")&lt;&gt;F27,IFERROR(INDEX($N$5:$N$64,MATCH(O27,$A$5:$A$64,0)),"")&lt;&gt;"Cash only")),AND(Setup!$B$8="Checking",OR(F27="Savings",G27="Savings"))),"CHECK AGREEMENT / REFUND / SCOPE","READY"),"READY"))))))),"CHECK INVALID INPUT")</f>
        <v>UNUSED</v>
      </c>
      <c r="S27" t="str">
        <f t="shared" si="27"/>
        <v>UNUSED</v>
      </c>
      <c r="T27">
        <f t="shared" si="0"/>
        <v>0</v>
      </c>
      <c r="U27">
        <f t="shared" si="1"/>
        <v>0</v>
      </c>
      <c r="V27">
        <f>IFERROR(MATCH(H27,Agreements!$A$5:$A$16,0),0)</f>
        <v>0</v>
      </c>
      <c r="W27" s="6">
        <f>IF(D27="Refund",IFERROR(INDEX(Agreements!$AA$5:$AA$16,MATCH(IFERROR(INDEX($H$5:$H$64,MATCH(I27,$A$5:$A$64,0)),""),Agreements!$A$5:$A$16,0)),0),IFERROR(INDEX(Agreements!$AA$5:$AA$16,MATCH(H27,Agreements!$A$5:$A$16,0)),0))</f>
        <v>0</v>
      </c>
      <c r="X27" s="3">
        <f t="shared" si="2"/>
        <v>0</v>
      </c>
      <c r="Y27" s="3">
        <f t="shared" si="3"/>
        <v>0</v>
      </c>
      <c r="Z27" s="3">
        <f t="shared" si="4"/>
        <v>0</v>
      </c>
      <c r="AA27" s="3">
        <f t="shared" si="5"/>
        <v>0</v>
      </c>
      <c r="AB27" s="3">
        <f t="shared" si="6"/>
        <v>0</v>
      </c>
      <c r="AC27" s="3">
        <f t="shared" si="7"/>
        <v>0</v>
      </c>
      <c r="AD27" s="3">
        <f t="shared" si="8"/>
        <v>0</v>
      </c>
      <c r="AE27" s="3">
        <f t="shared" si="9"/>
        <v>0</v>
      </c>
      <c r="AF27" s="3">
        <f t="shared" si="10"/>
        <v>0</v>
      </c>
      <c r="AG27" s="3">
        <f t="shared" si="11"/>
        <v>0</v>
      </c>
      <c r="AH27" s="3">
        <f t="shared" si="12"/>
        <v>0</v>
      </c>
      <c r="AI27" s="3">
        <f>N(Setup!$B$12)+SUM(AC$5:AC27)</f>
        <v>0</v>
      </c>
      <c r="AJ27" s="3">
        <f>N(Setup!$B$18)+SUM(AD$5:AD27)</f>
        <v>0</v>
      </c>
      <c r="AK27" s="3">
        <f>N(Setup!$B$13)+SUM(AE$5:AE27)</f>
        <v>0</v>
      </c>
      <c r="AL27" s="3">
        <f>N(Setup!$B$14)+SUM(AF$5:AF27)</f>
        <v>0</v>
      </c>
      <c r="AM27" s="3">
        <f>N(Setup!$B$19)+SUM(AG$5:AG27)</f>
        <v>0</v>
      </c>
      <c r="AN27" s="3">
        <f>N(Setup!$B$20)+SUM(AH$5:AH27)</f>
        <v>0</v>
      </c>
      <c r="AO27" s="3">
        <f t="shared" si="13"/>
        <v>0</v>
      </c>
      <c r="AP27" s="3">
        <f t="shared" si="14"/>
        <v>0</v>
      </c>
      <c r="AQ27" s="3">
        <f t="shared" si="15"/>
        <v>0</v>
      </c>
      <c r="AR27" s="3">
        <f t="shared" si="16"/>
        <v>0</v>
      </c>
      <c r="AS27" s="3">
        <f t="shared" si="17"/>
        <v>0</v>
      </c>
      <c r="AT27" s="3">
        <f t="shared" si="18"/>
        <v>0</v>
      </c>
      <c r="AU27" s="3">
        <f t="shared" si="19"/>
        <v>0</v>
      </c>
      <c r="AV27" s="3">
        <f t="shared" si="20"/>
        <v>0</v>
      </c>
      <c r="AW27" s="3">
        <f t="shared" si="21"/>
        <v>0</v>
      </c>
      <c r="AX27" s="3">
        <f t="shared" si="22"/>
        <v>0</v>
      </c>
      <c r="AY27" s="3">
        <f t="shared" si="23"/>
        <v>0</v>
      </c>
      <c r="AZ27" t="b">
        <f t="shared" si="24"/>
        <v>0</v>
      </c>
      <c r="BA27" t="b">
        <f>OR(AND(F27="Checking",Setup!$B$8&lt;&gt;"None"),AND(F27="Savings",Setup!$B$8="Combined"))</f>
        <v>0</v>
      </c>
      <c r="BB27" t="b">
        <f>OR(AND(G27="Checking",Setup!$B$8&lt;&gt;"None"),AND(G27="Savings",Setup!$B$8="Combined"))</f>
        <v>0</v>
      </c>
      <c r="BC27" t="b">
        <f t="shared" si="25"/>
        <v>0</v>
      </c>
      <c r="BD27" s="3">
        <f t="shared" si="26"/>
        <v>0</v>
      </c>
    </row>
    <row r="28" spans="1:56" ht="63.95" customHeight="1" x14ac:dyDescent="0.25">
      <c r="A28" s="4"/>
      <c r="B28" s="7"/>
      <c r="C28" s="4"/>
      <c r="D28" s="4"/>
      <c r="E28" s="2"/>
      <c r="F28" s="4"/>
      <c r="G28" s="4"/>
      <c r="H28" s="4"/>
      <c r="I28" s="4"/>
      <c r="J28" s="4"/>
      <c r="K28" s="2"/>
      <c r="L28" s="2"/>
      <c r="M28" s="4"/>
      <c r="N28" s="4"/>
      <c r="O28" s="4"/>
      <c r="P28" s="4"/>
      <c r="Q28" t="str">
        <f>IFERROR(IF(AND(T28=1,SUMPRODUCT(--($B$5:B27&gt;B28),$T$5:T27)&gt;0),"CHECK CASH DATE ORDER",IF(COUNTA(A28:P28)=0,"UNUSED",IF(OR(A28="",NOT(ISNUMBER(B28)),NOT(ISNUMBER(E28)),E28&lt;0,COUNTIF($A$5:$A$64,A28)&lt;&gt;1,AND(C28&lt;&gt;"Confirmed",C28&lt;&gt;"Disputed",C28&lt;&gt;"Expected",C28&lt;&gt;"Historical"),AND(N28&lt;&gt;"Cash + allocation",N28&lt;&gt;"Cash only",N28&lt;&gt;"Allocation only"),LEN(TRIM(P28))=0),"CHECK ID / AMOUNT / STATUS",IF(C28="Expected","EXPECTED — EXCLUDED",IF(C28="Historical",IF(B28&lt;Setup!$B$6,"HISTORICAL — NO CASH","CHECK HISTORICAL DATE"),IF(OR(B28&lt;Setup!$B$6,B28&gt;Setup!$B$7,AND(D28="Expense",OR(AND(F28&lt;&gt;"A",F28&lt;&gt;"B",F28&lt;&gt;"Checking",F28&lt;&gt;"Savings"),G28&lt;&gt;"Merchant")),AND(D28="Refund",OR(F28&lt;&gt;"Merchant",AND(G28&lt;&gt;"A",G28&lt;&gt;"B",G28&lt;&gt;"Checking",G28&lt;&gt;"Savings"))),AND(D28="Contribution",OR(AND(F28&lt;&gt;"A",F28&lt;&gt;"B"),NOT(OR(G28="Checking",G28="Savings")))),AND(D28="ReturnContribution",OR(NOT(OR(F28="Checking",F28="Savings")),AND(G28&lt;&gt;"A",G28&lt;&gt;"B"))),AND(OR(D28="Settlement",D28="PersonalSupport"),OR(AND(M28&lt;&gt;"A",M28&lt;&gt;"B"),IF(M28="A",G28&lt;&gt;"B",G28&lt;&gt;"A"),AND(NOT(OR(F28="Checking",F28="Savings")),F28&lt;&gt;M28))),AND(OR(D28="InternalTransfer",D28="BoundaryTransfer"),OR(NOT(OR(F28="Checking",F28="Savings")),NOT(OR(G28="Checking",G28="Savings")),F28=G28)),AND(D28&lt;&gt;"Expense",D28&lt;&gt;"Refund",D28&lt;&gt;"Contribution",D28&lt;&gt;"ReturnContribution",D28&lt;&gt;"Settlement",D28&lt;&gt;"PersonalSupport",D28&lt;&gt;"InternalTransfer",D28&lt;&gt;"BoundaryTransfer"),AND(Setup!$B$8="None",OR(OR(F28="Checking",F28="Savings"),OR(G28="Checking",G28="Savings"))),AND(Setup!$B$8="Checking",Setup!$B$23&lt;&gt;"Active",OR(F28="Savings",G28="Savings")),AND(T28=1,MIN(AI28:AJ28)&lt; -0.005),AND(N28="Cash only",D28&lt;&gt;"Expense"),AND(N28="Allocation only",D28&lt;&gt;"Expense")),"CHECK CASH / SCOPE","READY")))))),"CHECK INVALID INPUT")</f>
        <v>UNUSED</v>
      </c>
      <c r="R28" t="str">
        <f>IFERROR(IF(AND(C28="Historical",D28="Expense",OR(IFERROR(INDEX(Agreements!$Z$5:$Z$16,MATCH(H28,Agreements!$A$5:$A$16,0)),"MISSING")&lt;&gt;"READY",B28&lt;IFERROR(INDEX(Agreements!$C$5:$C$16,MATCH(H28,Agreements!$A$5:$A$16,0)),0),B28&gt;IFERROR(INDEX(Agreements!$D$5:$D$16,MATCH(H28,Agreements!$A$5:$A$16,0)),0))),"CHECK HISTORICAL AGREEMENT",IF(AND(C28="Confirmed",D28="Refund",AND(IFERROR(INDEX($C$5:$C$64,MATCH(I28,$A$5:$A$64,0)),"")&lt;&gt;"Confirmed",IFERROR(INDEX($C$5:$C$64,MATCH(I28,$A$5:$A$64,0)),"")&lt;&gt;"Historical")),"CHECK REFUND SOURCE STATUS",IF(COUNTA(A28:P28)=0,"UNUSED",IF(OR(C28="Expected",C28="Historical"),"NOT CURRENT",IF(C28="Disputed","DISPUTED — CLOSE PENDING",IF(N28="Cash only",IF(ABS(BD28-E28)&lt;0.005,"READY","CHECK ALLOCATION TOTAL"),IF(OR(D28="Expense",D28="Refund"),IF(OR(IFERROR(INDEX(Agreements!$Z$5:$Z$16,MATCH(H28,Agreements!$A$5:$A$16,0)),0)&lt;&gt;"READY",AND(D28="Expense",OR(B28&lt;IFERROR(INDEX(Agreements!$C$5:$C$16,MATCH(H28,Agreements!$A$5:$A$16,0)),0),B28&gt;IFERROR(INDEX(Agreements!$D$5:$D$16,MATCH(H28,Agreements!$A$5:$A$16,0)),0))),AND(D28="Refund",OR(IFERROR(INDEX($D$5:$D$64,MATCH(I28,$A$5:$A$64,0)),"")&lt;&gt;"Expense",IFERROR(INDEX($H$5:$H$64,MATCH(I28,$A$5:$A$64,0)),"")&lt;&gt;H28,SUMIFS($E$5:$E$64,$I$5:$I$64,I28,$D$5:$D$64,"Refund",$C$5:$C$64,"&lt;&gt;Expected")&gt;N(IFERROR(INDEX($E$5:$E$64,MATCH(I28,$A$5:$A$64,0)),""))+0.005,I28="")),AND(N28="Allocation only",OR(O28="",IFERROR(INDEX($F$5:$F$64,MATCH(O28,$A$5:$A$64,0)),"")&lt;&gt;F28,IFERROR(INDEX($N$5:$N$64,MATCH(O28,$A$5:$A$64,0)),"")&lt;&gt;"Cash only")),AND(Setup!$B$8="Checking",OR(F28="Savings",G28="Savings"))),"CHECK AGREEMENT / REFUND / SCOPE","READY"),"READY"))))))),"CHECK INVALID INPUT")</f>
        <v>UNUSED</v>
      </c>
      <c r="S28" t="str">
        <f t="shared" si="27"/>
        <v>UNUSED</v>
      </c>
      <c r="T28">
        <f t="shared" si="0"/>
        <v>0</v>
      </c>
      <c r="U28">
        <f t="shared" si="1"/>
        <v>0</v>
      </c>
      <c r="V28">
        <f>IFERROR(MATCH(H28,Agreements!$A$5:$A$16,0),0)</f>
        <v>0</v>
      </c>
      <c r="W28" s="6">
        <f>IF(D28="Refund",IFERROR(INDEX(Agreements!$AA$5:$AA$16,MATCH(IFERROR(INDEX($H$5:$H$64,MATCH(I28,$A$5:$A$64,0)),""),Agreements!$A$5:$A$16,0)),0),IFERROR(INDEX(Agreements!$AA$5:$AA$16,MATCH(H28,Agreements!$A$5:$A$16,0)),0))</f>
        <v>0</v>
      </c>
      <c r="X28" s="3">
        <f t="shared" si="2"/>
        <v>0</v>
      </c>
      <c r="Y28" s="3">
        <f t="shared" si="3"/>
        <v>0</v>
      </c>
      <c r="Z28" s="3">
        <f t="shared" si="4"/>
        <v>0</v>
      </c>
      <c r="AA28" s="3">
        <f t="shared" si="5"/>
        <v>0</v>
      </c>
      <c r="AB28" s="3">
        <f t="shared" si="6"/>
        <v>0</v>
      </c>
      <c r="AC28" s="3">
        <f t="shared" si="7"/>
        <v>0</v>
      </c>
      <c r="AD28" s="3">
        <f t="shared" si="8"/>
        <v>0</v>
      </c>
      <c r="AE28" s="3">
        <f t="shared" si="9"/>
        <v>0</v>
      </c>
      <c r="AF28" s="3">
        <f t="shared" si="10"/>
        <v>0</v>
      </c>
      <c r="AG28" s="3">
        <f t="shared" si="11"/>
        <v>0</v>
      </c>
      <c r="AH28" s="3">
        <f t="shared" si="12"/>
        <v>0</v>
      </c>
      <c r="AI28" s="3">
        <f>N(Setup!$B$12)+SUM(AC$5:AC28)</f>
        <v>0</v>
      </c>
      <c r="AJ28" s="3">
        <f>N(Setup!$B$18)+SUM(AD$5:AD28)</f>
        <v>0</v>
      </c>
      <c r="AK28" s="3">
        <f>N(Setup!$B$13)+SUM(AE$5:AE28)</f>
        <v>0</v>
      </c>
      <c r="AL28" s="3">
        <f>N(Setup!$B$14)+SUM(AF$5:AF28)</f>
        <v>0</v>
      </c>
      <c r="AM28" s="3">
        <f>N(Setup!$B$19)+SUM(AG$5:AG28)</f>
        <v>0</v>
      </c>
      <c r="AN28" s="3">
        <f>N(Setup!$B$20)+SUM(AH$5:AH28)</f>
        <v>0</v>
      </c>
      <c r="AO28" s="3">
        <f t="shared" si="13"/>
        <v>0</v>
      </c>
      <c r="AP28" s="3">
        <f t="shared" si="14"/>
        <v>0</v>
      </c>
      <c r="AQ28" s="3">
        <f t="shared" si="15"/>
        <v>0</v>
      </c>
      <c r="AR28" s="3">
        <f t="shared" si="16"/>
        <v>0</v>
      </c>
      <c r="AS28" s="3">
        <f t="shared" si="17"/>
        <v>0</v>
      </c>
      <c r="AT28" s="3">
        <f t="shared" si="18"/>
        <v>0</v>
      </c>
      <c r="AU28" s="3">
        <f t="shared" si="19"/>
        <v>0</v>
      </c>
      <c r="AV28" s="3">
        <f t="shared" si="20"/>
        <v>0</v>
      </c>
      <c r="AW28" s="3">
        <f t="shared" si="21"/>
        <v>0</v>
      </c>
      <c r="AX28" s="3">
        <f t="shared" si="22"/>
        <v>0</v>
      </c>
      <c r="AY28" s="3">
        <f t="shared" si="23"/>
        <v>0</v>
      </c>
      <c r="AZ28" t="b">
        <f t="shared" si="24"/>
        <v>0</v>
      </c>
      <c r="BA28" t="b">
        <f>OR(AND(F28="Checking",Setup!$B$8&lt;&gt;"None"),AND(F28="Savings",Setup!$B$8="Combined"))</f>
        <v>0</v>
      </c>
      <c r="BB28" t="b">
        <f>OR(AND(G28="Checking",Setup!$B$8&lt;&gt;"None"),AND(G28="Savings",Setup!$B$8="Combined"))</f>
        <v>0</v>
      </c>
      <c r="BC28" t="b">
        <f t="shared" si="25"/>
        <v>0</v>
      </c>
      <c r="BD28" s="3">
        <f t="shared" si="26"/>
        <v>0</v>
      </c>
    </row>
    <row r="29" spans="1:56" ht="63.95" customHeight="1" x14ac:dyDescent="0.25">
      <c r="A29" s="4"/>
      <c r="B29" s="7"/>
      <c r="C29" s="4"/>
      <c r="D29" s="4"/>
      <c r="E29" s="2"/>
      <c r="F29" s="4"/>
      <c r="G29" s="4"/>
      <c r="H29" s="4"/>
      <c r="I29" s="4"/>
      <c r="J29" s="4"/>
      <c r="K29" s="2"/>
      <c r="L29" s="2"/>
      <c r="M29" s="4"/>
      <c r="N29" s="4"/>
      <c r="O29" s="4"/>
      <c r="P29" s="4"/>
      <c r="Q29" t="str">
        <f>IFERROR(IF(AND(T29=1,SUMPRODUCT(--($B$5:B28&gt;B29),$T$5:T28)&gt;0),"CHECK CASH DATE ORDER",IF(COUNTA(A29:P29)=0,"UNUSED",IF(OR(A29="",NOT(ISNUMBER(B29)),NOT(ISNUMBER(E29)),E29&lt;0,COUNTIF($A$5:$A$64,A29)&lt;&gt;1,AND(C29&lt;&gt;"Confirmed",C29&lt;&gt;"Disputed",C29&lt;&gt;"Expected",C29&lt;&gt;"Historical"),AND(N29&lt;&gt;"Cash + allocation",N29&lt;&gt;"Cash only",N29&lt;&gt;"Allocation only"),LEN(TRIM(P29))=0),"CHECK ID / AMOUNT / STATUS",IF(C29="Expected","EXPECTED — EXCLUDED",IF(C29="Historical",IF(B29&lt;Setup!$B$6,"HISTORICAL — NO CASH","CHECK HISTORICAL DATE"),IF(OR(B29&lt;Setup!$B$6,B29&gt;Setup!$B$7,AND(D29="Expense",OR(AND(F29&lt;&gt;"A",F29&lt;&gt;"B",F29&lt;&gt;"Checking",F29&lt;&gt;"Savings"),G29&lt;&gt;"Merchant")),AND(D29="Refund",OR(F29&lt;&gt;"Merchant",AND(G29&lt;&gt;"A",G29&lt;&gt;"B",G29&lt;&gt;"Checking",G29&lt;&gt;"Savings"))),AND(D29="Contribution",OR(AND(F29&lt;&gt;"A",F29&lt;&gt;"B"),NOT(OR(G29="Checking",G29="Savings")))),AND(D29="ReturnContribution",OR(NOT(OR(F29="Checking",F29="Savings")),AND(G29&lt;&gt;"A",G29&lt;&gt;"B"))),AND(OR(D29="Settlement",D29="PersonalSupport"),OR(AND(M29&lt;&gt;"A",M29&lt;&gt;"B"),IF(M29="A",G29&lt;&gt;"B",G29&lt;&gt;"A"),AND(NOT(OR(F29="Checking",F29="Savings")),F29&lt;&gt;M29))),AND(OR(D29="InternalTransfer",D29="BoundaryTransfer"),OR(NOT(OR(F29="Checking",F29="Savings")),NOT(OR(G29="Checking",G29="Savings")),F29=G29)),AND(D29&lt;&gt;"Expense",D29&lt;&gt;"Refund",D29&lt;&gt;"Contribution",D29&lt;&gt;"ReturnContribution",D29&lt;&gt;"Settlement",D29&lt;&gt;"PersonalSupport",D29&lt;&gt;"InternalTransfer",D29&lt;&gt;"BoundaryTransfer"),AND(Setup!$B$8="None",OR(OR(F29="Checking",F29="Savings"),OR(G29="Checking",G29="Savings"))),AND(Setup!$B$8="Checking",Setup!$B$23&lt;&gt;"Active",OR(F29="Savings",G29="Savings")),AND(T29=1,MIN(AI29:AJ29)&lt; -0.005),AND(N29="Cash only",D29&lt;&gt;"Expense"),AND(N29="Allocation only",D29&lt;&gt;"Expense")),"CHECK CASH / SCOPE","READY")))))),"CHECK INVALID INPUT")</f>
        <v>UNUSED</v>
      </c>
      <c r="R29" t="str">
        <f>IFERROR(IF(AND(C29="Historical",D29="Expense",OR(IFERROR(INDEX(Agreements!$Z$5:$Z$16,MATCH(H29,Agreements!$A$5:$A$16,0)),"MISSING")&lt;&gt;"READY",B29&lt;IFERROR(INDEX(Agreements!$C$5:$C$16,MATCH(H29,Agreements!$A$5:$A$16,0)),0),B29&gt;IFERROR(INDEX(Agreements!$D$5:$D$16,MATCH(H29,Agreements!$A$5:$A$16,0)),0))),"CHECK HISTORICAL AGREEMENT",IF(AND(C29="Confirmed",D29="Refund",AND(IFERROR(INDEX($C$5:$C$64,MATCH(I29,$A$5:$A$64,0)),"")&lt;&gt;"Confirmed",IFERROR(INDEX($C$5:$C$64,MATCH(I29,$A$5:$A$64,0)),"")&lt;&gt;"Historical")),"CHECK REFUND SOURCE STATUS",IF(COUNTA(A29:P29)=0,"UNUSED",IF(OR(C29="Expected",C29="Historical"),"NOT CURRENT",IF(C29="Disputed","DISPUTED — CLOSE PENDING",IF(N29="Cash only",IF(ABS(BD29-E29)&lt;0.005,"READY","CHECK ALLOCATION TOTAL"),IF(OR(D29="Expense",D29="Refund"),IF(OR(IFERROR(INDEX(Agreements!$Z$5:$Z$16,MATCH(H29,Agreements!$A$5:$A$16,0)),0)&lt;&gt;"READY",AND(D29="Expense",OR(B29&lt;IFERROR(INDEX(Agreements!$C$5:$C$16,MATCH(H29,Agreements!$A$5:$A$16,0)),0),B29&gt;IFERROR(INDEX(Agreements!$D$5:$D$16,MATCH(H29,Agreements!$A$5:$A$16,0)),0))),AND(D29="Refund",OR(IFERROR(INDEX($D$5:$D$64,MATCH(I29,$A$5:$A$64,0)),"")&lt;&gt;"Expense",IFERROR(INDEX($H$5:$H$64,MATCH(I29,$A$5:$A$64,0)),"")&lt;&gt;H29,SUMIFS($E$5:$E$64,$I$5:$I$64,I29,$D$5:$D$64,"Refund",$C$5:$C$64,"&lt;&gt;Expected")&gt;N(IFERROR(INDEX($E$5:$E$64,MATCH(I29,$A$5:$A$64,0)),""))+0.005,I29="")),AND(N29="Allocation only",OR(O29="",IFERROR(INDEX($F$5:$F$64,MATCH(O29,$A$5:$A$64,0)),"")&lt;&gt;F29,IFERROR(INDEX($N$5:$N$64,MATCH(O29,$A$5:$A$64,0)),"")&lt;&gt;"Cash only")),AND(Setup!$B$8="Checking",OR(F29="Savings",G29="Savings"))),"CHECK AGREEMENT / REFUND / SCOPE","READY"),"READY"))))))),"CHECK INVALID INPUT")</f>
        <v>UNUSED</v>
      </c>
      <c r="S29" t="str">
        <f t="shared" si="27"/>
        <v>UNUSED</v>
      </c>
      <c r="T29">
        <f t="shared" si="0"/>
        <v>0</v>
      </c>
      <c r="U29">
        <f t="shared" si="1"/>
        <v>0</v>
      </c>
      <c r="V29">
        <f>IFERROR(MATCH(H29,Agreements!$A$5:$A$16,0),0)</f>
        <v>0</v>
      </c>
      <c r="W29" s="6">
        <f>IF(D29="Refund",IFERROR(INDEX(Agreements!$AA$5:$AA$16,MATCH(IFERROR(INDEX($H$5:$H$64,MATCH(I29,$A$5:$A$64,0)),""),Agreements!$A$5:$A$16,0)),0),IFERROR(INDEX(Agreements!$AA$5:$AA$16,MATCH(H29,Agreements!$A$5:$A$16,0)),0))</f>
        <v>0</v>
      </c>
      <c r="X29" s="3">
        <f t="shared" si="2"/>
        <v>0</v>
      </c>
      <c r="Y29" s="3">
        <f t="shared" si="3"/>
        <v>0</v>
      </c>
      <c r="Z29" s="3">
        <f t="shared" si="4"/>
        <v>0</v>
      </c>
      <c r="AA29" s="3">
        <f t="shared" si="5"/>
        <v>0</v>
      </c>
      <c r="AB29" s="3">
        <f t="shared" si="6"/>
        <v>0</v>
      </c>
      <c r="AC29" s="3">
        <f t="shared" si="7"/>
        <v>0</v>
      </c>
      <c r="AD29" s="3">
        <f t="shared" si="8"/>
        <v>0</v>
      </c>
      <c r="AE29" s="3">
        <f t="shared" si="9"/>
        <v>0</v>
      </c>
      <c r="AF29" s="3">
        <f t="shared" si="10"/>
        <v>0</v>
      </c>
      <c r="AG29" s="3">
        <f t="shared" si="11"/>
        <v>0</v>
      </c>
      <c r="AH29" s="3">
        <f t="shared" si="12"/>
        <v>0</v>
      </c>
      <c r="AI29" s="3">
        <f>N(Setup!$B$12)+SUM(AC$5:AC29)</f>
        <v>0</v>
      </c>
      <c r="AJ29" s="3">
        <f>N(Setup!$B$18)+SUM(AD$5:AD29)</f>
        <v>0</v>
      </c>
      <c r="AK29" s="3">
        <f>N(Setup!$B$13)+SUM(AE$5:AE29)</f>
        <v>0</v>
      </c>
      <c r="AL29" s="3">
        <f>N(Setup!$B$14)+SUM(AF$5:AF29)</f>
        <v>0</v>
      </c>
      <c r="AM29" s="3">
        <f>N(Setup!$B$19)+SUM(AG$5:AG29)</f>
        <v>0</v>
      </c>
      <c r="AN29" s="3">
        <f>N(Setup!$B$20)+SUM(AH$5:AH29)</f>
        <v>0</v>
      </c>
      <c r="AO29" s="3">
        <f t="shared" si="13"/>
        <v>0</v>
      </c>
      <c r="AP29" s="3">
        <f t="shared" si="14"/>
        <v>0</v>
      </c>
      <c r="AQ29" s="3">
        <f t="shared" si="15"/>
        <v>0</v>
      </c>
      <c r="AR29" s="3">
        <f t="shared" si="16"/>
        <v>0</v>
      </c>
      <c r="AS29" s="3">
        <f t="shared" si="17"/>
        <v>0</v>
      </c>
      <c r="AT29" s="3">
        <f t="shared" si="18"/>
        <v>0</v>
      </c>
      <c r="AU29" s="3">
        <f t="shared" si="19"/>
        <v>0</v>
      </c>
      <c r="AV29" s="3">
        <f t="shared" si="20"/>
        <v>0</v>
      </c>
      <c r="AW29" s="3">
        <f t="shared" si="21"/>
        <v>0</v>
      </c>
      <c r="AX29" s="3">
        <f t="shared" si="22"/>
        <v>0</v>
      </c>
      <c r="AY29" s="3">
        <f t="shared" si="23"/>
        <v>0</v>
      </c>
      <c r="AZ29" t="b">
        <f t="shared" si="24"/>
        <v>0</v>
      </c>
      <c r="BA29" t="b">
        <f>OR(AND(F29="Checking",Setup!$B$8&lt;&gt;"None"),AND(F29="Savings",Setup!$B$8="Combined"))</f>
        <v>0</v>
      </c>
      <c r="BB29" t="b">
        <f>OR(AND(G29="Checking",Setup!$B$8&lt;&gt;"None"),AND(G29="Savings",Setup!$B$8="Combined"))</f>
        <v>0</v>
      </c>
      <c r="BC29" t="b">
        <f t="shared" si="25"/>
        <v>0</v>
      </c>
      <c r="BD29" s="3">
        <f t="shared" si="26"/>
        <v>0</v>
      </c>
    </row>
    <row r="30" spans="1:56" ht="63.95" customHeight="1" x14ac:dyDescent="0.25">
      <c r="A30" s="4"/>
      <c r="B30" s="7"/>
      <c r="C30" s="4"/>
      <c r="D30" s="4"/>
      <c r="E30" s="2"/>
      <c r="F30" s="4"/>
      <c r="G30" s="4"/>
      <c r="H30" s="4"/>
      <c r="I30" s="4"/>
      <c r="J30" s="4"/>
      <c r="K30" s="2"/>
      <c r="L30" s="2"/>
      <c r="M30" s="4"/>
      <c r="N30" s="4"/>
      <c r="O30" s="4"/>
      <c r="P30" s="4"/>
      <c r="Q30" t="str">
        <f>IFERROR(IF(AND(T30=1,SUMPRODUCT(--($B$5:B29&gt;B30),$T$5:T29)&gt;0),"CHECK CASH DATE ORDER",IF(COUNTA(A30:P30)=0,"UNUSED",IF(OR(A30="",NOT(ISNUMBER(B30)),NOT(ISNUMBER(E30)),E30&lt;0,COUNTIF($A$5:$A$64,A30)&lt;&gt;1,AND(C30&lt;&gt;"Confirmed",C30&lt;&gt;"Disputed",C30&lt;&gt;"Expected",C30&lt;&gt;"Historical"),AND(N30&lt;&gt;"Cash + allocation",N30&lt;&gt;"Cash only",N30&lt;&gt;"Allocation only"),LEN(TRIM(P30))=0),"CHECK ID / AMOUNT / STATUS",IF(C30="Expected","EXPECTED — EXCLUDED",IF(C30="Historical",IF(B30&lt;Setup!$B$6,"HISTORICAL — NO CASH","CHECK HISTORICAL DATE"),IF(OR(B30&lt;Setup!$B$6,B30&gt;Setup!$B$7,AND(D30="Expense",OR(AND(F30&lt;&gt;"A",F30&lt;&gt;"B",F30&lt;&gt;"Checking",F30&lt;&gt;"Savings"),G30&lt;&gt;"Merchant")),AND(D30="Refund",OR(F30&lt;&gt;"Merchant",AND(G30&lt;&gt;"A",G30&lt;&gt;"B",G30&lt;&gt;"Checking",G30&lt;&gt;"Savings"))),AND(D30="Contribution",OR(AND(F30&lt;&gt;"A",F30&lt;&gt;"B"),NOT(OR(G30="Checking",G30="Savings")))),AND(D30="ReturnContribution",OR(NOT(OR(F30="Checking",F30="Savings")),AND(G30&lt;&gt;"A",G30&lt;&gt;"B"))),AND(OR(D30="Settlement",D30="PersonalSupport"),OR(AND(M30&lt;&gt;"A",M30&lt;&gt;"B"),IF(M30="A",G30&lt;&gt;"B",G30&lt;&gt;"A"),AND(NOT(OR(F30="Checking",F30="Savings")),F30&lt;&gt;M30))),AND(OR(D30="InternalTransfer",D30="BoundaryTransfer"),OR(NOT(OR(F30="Checking",F30="Savings")),NOT(OR(G30="Checking",G30="Savings")),F30=G30)),AND(D30&lt;&gt;"Expense",D30&lt;&gt;"Refund",D30&lt;&gt;"Contribution",D30&lt;&gt;"ReturnContribution",D30&lt;&gt;"Settlement",D30&lt;&gt;"PersonalSupport",D30&lt;&gt;"InternalTransfer",D30&lt;&gt;"BoundaryTransfer"),AND(Setup!$B$8="None",OR(OR(F30="Checking",F30="Savings"),OR(G30="Checking",G30="Savings"))),AND(Setup!$B$8="Checking",Setup!$B$23&lt;&gt;"Active",OR(F30="Savings",G30="Savings")),AND(T30=1,MIN(AI30:AJ30)&lt; -0.005),AND(N30="Cash only",D30&lt;&gt;"Expense"),AND(N30="Allocation only",D30&lt;&gt;"Expense")),"CHECK CASH / SCOPE","READY")))))),"CHECK INVALID INPUT")</f>
        <v>UNUSED</v>
      </c>
      <c r="R30" t="str">
        <f>IFERROR(IF(AND(C30="Historical",D30="Expense",OR(IFERROR(INDEX(Agreements!$Z$5:$Z$16,MATCH(H30,Agreements!$A$5:$A$16,0)),"MISSING")&lt;&gt;"READY",B30&lt;IFERROR(INDEX(Agreements!$C$5:$C$16,MATCH(H30,Agreements!$A$5:$A$16,0)),0),B30&gt;IFERROR(INDEX(Agreements!$D$5:$D$16,MATCH(H30,Agreements!$A$5:$A$16,0)),0))),"CHECK HISTORICAL AGREEMENT",IF(AND(C30="Confirmed",D30="Refund",AND(IFERROR(INDEX($C$5:$C$64,MATCH(I30,$A$5:$A$64,0)),"")&lt;&gt;"Confirmed",IFERROR(INDEX($C$5:$C$64,MATCH(I30,$A$5:$A$64,0)),"")&lt;&gt;"Historical")),"CHECK REFUND SOURCE STATUS",IF(COUNTA(A30:P30)=0,"UNUSED",IF(OR(C30="Expected",C30="Historical"),"NOT CURRENT",IF(C30="Disputed","DISPUTED — CLOSE PENDING",IF(N30="Cash only",IF(ABS(BD30-E30)&lt;0.005,"READY","CHECK ALLOCATION TOTAL"),IF(OR(D30="Expense",D30="Refund"),IF(OR(IFERROR(INDEX(Agreements!$Z$5:$Z$16,MATCH(H30,Agreements!$A$5:$A$16,0)),0)&lt;&gt;"READY",AND(D30="Expense",OR(B30&lt;IFERROR(INDEX(Agreements!$C$5:$C$16,MATCH(H30,Agreements!$A$5:$A$16,0)),0),B30&gt;IFERROR(INDEX(Agreements!$D$5:$D$16,MATCH(H30,Agreements!$A$5:$A$16,0)),0))),AND(D30="Refund",OR(IFERROR(INDEX($D$5:$D$64,MATCH(I30,$A$5:$A$64,0)),"")&lt;&gt;"Expense",IFERROR(INDEX($H$5:$H$64,MATCH(I30,$A$5:$A$64,0)),"")&lt;&gt;H30,SUMIFS($E$5:$E$64,$I$5:$I$64,I30,$D$5:$D$64,"Refund",$C$5:$C$64,"&lt;&gt;Expected")&gt;N(IFERROR(INDEX($E$5:$E$64,MATCH(I30,$A$5:$A$64,0)),""))+0.005,I30="")),AND(N30="Allocation only",OR(O30="",IFERROR(INDEX($F$5:$F$64,MATCH(O30,$A$5:$A$64,0)),"")&lt;&gt;F30,IFERROR(INDEX($N$5:$N$64,MATCH(O30,$A$5:$A$64,0)),"")&lt;&gt;"Cash only")),AND(Setup!$B$8="Checking",OR(F30="Savings",G30="Savings"))),"CHECK AGREEMENT / REFUND / SCOPE","READY"),"READY"))))))),"CHECK INVALID INPUT")</f>
        <v>UNUSED</v>
      </c>
      <c r="S30" t="str">
        <f t="shared" si="27"/>
        <v>UNUSED</v>
      </c>
      <c r="T30">
        <f t="shared" si="0"/>
        <v>0</v>
      </c>
      <c r="U30">
        <f t="shared" si="1"/>
        <v>0</v>
      </c>
      <c r="V30">
        <f>IFERROR(MATCH(H30,Agreements!$A$5:$A$16,0),0)</f>
        <v>0</v>
      </c>
      <c r="W30" s="6">
        <f>IF(D30="Refund",IFERROR(INDEX(Agreements!$AA$5:$AA$16,MATCH(IFERROR(INDEX($H$5:$H$64,MATCH(I30,$A$5:$A$64,0)),""),Agreements!$A$5:$A$16,0)),0),IFERROR(INDEX(Agreements!$AA$5:$AA$16,MATCH(H30,Agreements!$A$5:$A$16,0)),0))</f>
        <v>0</v>
      </c>
      <c r="X30" s="3">
        <f t="shared" si="2"/>
        <v>0</v>
      </c>
      <c r="Y30" s="3">
        <f t="shared" si="3"/>
        <v>0</v>
      </c>
      <c r="Z30" s="3">
        <f t="shared" si="4"/>
        <v>0</v>
      </c>
      <c r="AA30" s="3">
        <f t="shared" si="5"/>
        <v>0</v>
      </c>
      <c r="AB30" s="3">
        <f t="shared" si="6"/>
        <v>0</v>
      </c>
      <c r="AC30" s="3">
        <f t="shared" si="7"/>
        <v>0</v>
      </c>
      <c r="AD30" s="3">
        <f t="shared" si="8"/>
        <v>0</v>
      </c>
      <c r="AE30" s="3">
        <f t="shared" si="9"/>
        <v>0</v>
      </c>
      <c r="AF30" s="3">
        <f t="shared" si="10"/>
        <v>0</v>
      </c>
      <c r="AG30" s="3">
        <f t="shared" si="11"/>
        <v>0</v>
      </c>
      <c r="AH30" s="3">
        <f t="shared" si="12"/>
        <v>0</v>
      </c>
      <c r="AI30" s="3">
        <f>N(Setup!$B$12)+SUM(AC$5:AC30)</f>
        <v>0</v>
      </c>
      <c r="AJ30" s="3">
        <f>N(Setup!$B$18)+SUM(AD$5:AD30)</f>
        <v>0</v>
      </c>
      <c r="AK30" s="3">
        <f>N(Setup!$B$13)+SUM(AE$5:AE30)</f>
        <v>0</v>
      </c>
      <c r="AL30" s="3">
        <f>N(Setup!$B$14)+SUM(AF$5:AF30)</f>
        <v>0</v>
      </c>
      <c r="AM30" s="3">
        <f>N(Setup!$B$19)+SUM(AG$5:AG30)</f>
        <v>0</v>
      </c>
      <c r="AN30" s="3">
        <f>N(Setup!$B$20)+SUM(AH$5:AH30)</f>
        <v>0</v>
      </c>
      <c r="AO30" s="3">
        <f t="shared" si="13"/>
        <v>0</v>
      </c>
      <c r="AP30" s="3">
        <f t="shared" si="14"/>
        <v>0</v>
      </c>
      <c r="AQ30" s="3">
        <f t="shared" si="15"/>
        <v>0</v>
      </c>
      <c r="AR30" s="3">
        <f t="shared" si="16"/>
        <v>0</v>
      </c>
      <c r="AS30" s="3">
        <f t="shared" si="17"/>
        <v>0</v>
      </c>
      <c r="AT30" s="3">
        <f t="shared" si="18"/>
        <v>0</v>
      </c>
      <c r="AU30" s="3">
        <f t="shared" si="19"/>
        <v>0</v>
      </c>
      <c r="AV30" s="3">
        <f t="shared" si="20"/>
        <v>0</v>
      </c>
      <c r="AW30" s="3">
        <f t="shared" si="21"/>
        <v>0</v>
      </c>
      <c r="AX30" s="3">
        <f t="shared" si="22"/>
        <v>0</v>
      </c>
      <c r="AY30" s="3">
        <f t="shared" si="23"/>
        <v>0</v>
      </c>
      <c r="AZ30" t="b">
        <f t="shared" si="24"/>
        <v>0</v>
      </c>
      <c r="BA30" t="b">
        <f>OR(AND(F30="Checking",Setup!$B$8&lt;&gt;"None"),AND(F30="Savings",Setup!$B$8="Combined"))</f>
        <v>0</v>
      </c>
      <c r="BB30" t="b">
        <f>OR(AND(G30="Checking",Setup!$B$8&lt;&gt;"None"),AND(G30="Savings",Setup!$B$8="Combined"))</f>
        <v>0</v>
      </c>
      <c r="BC30" t="b">
        <f t="shared" si="25"/>
        <v>0</v>
      </c>
      <c r="BD30" s="3">
        <f t="shared" si="26"/>
        <v>0</v>
      </c>
    </row>
    <row r="31" spans="1:56" ht="63.95" customHeight="1" x14ac:dyDescent="0.25">
      <c r="A31" s="4"/>
      <c r="B31" s="7"/>
      <c r="C31" s="4"/>
      <c r="D31" s="4"/>
      <c r="E31" s="2"/>
      <c r="F31" s="4"/>
      <c r="G31" s="4"/>
      <c r="H31" s="4"/>
      <c r="I31" s="4"/>
      <c r="J31" s="4"/>
      <c r="K31" s="2"/>
      <c r="L31" s="2"/>
      <c r="M31" s="4"/>
      <c r="N31" s="4"/>
      <c r="O31" s="4"/>
      <c r="P31" s="4"/>
      <c r="Q31" t="str">
        <f>IFERROR(IF(AND(T31=1,SUMPRODUCT(--($B$5:B30&gt;B31),$T$5:T30)&gt;0),"CHECK CASH DATE ORDER",IF(COUNTA(A31:P31)=0,"UNUSED",IF(OR(A31="",NOT(ISNUMBER(B31)),NOT(ISNUMBER(E31)),E31&lt;0,COUNTIF($A$5:$A$64,A31)&lt;&gt;1,AND(C31&lt;&gt;"Confirmed",C31&lt;&gt;"Disputed",C31&lt;&gt;"Expected",C31&lt;&gt;"Historical"),AND(N31&lt;&gt;"Cash + allocation",N31&lt;&gt;"Cash only",N31&lt;&gt;"Allocation only"),LEN(TRIM(P31))=0),"CHECK ID / AMOUNT / STATUS",IF(C31="Expected","EXPECTED — EXCLUDED",IF(C31="Historical",IF(B31&lt;Setup!$B$6,"HISTORICAL — NO CASH","CHECK HISTORICAL DATE"),IF(OR(B31&lt;Setup!$B$6,B31&gt;Setup!$B$7,AND(D31="Expense",OR(AND(F31&lt;&gt;"A",F31&lt;&gt;"B",F31&lt;&gt;"Checking",F31&lt;&gt;"Savings"),G31&lt;&gt;"Merchant")),AND(D31="Refund",OR(F31&lt;&gt;"Merchant",AND(G31&lt;&gt;"A",G31&lt;&gt;"B",G31&lt;&gt;"Checking",G31&lt;&gt;"Savings"))),AND(D31="Contribution",OR(AND(F31&lt;&gt;"A",F31&lt;&gt;"B"),NOT(OR(G31="Checking",G31="Savings")))),AND(D31="ReturnContribution",OR(NOT(OR(F31="Checking",F31="Savings")),AND(G31&lt;&gt;"A",G31&lt;&gt;"B"))),AND(OR(D31="Settlement",D31="PersonalSupport"),OR(AND(M31&lt;&gt;"A",M31&lt;&gt;"B"),IF(M31="A",G31&lt;&gt;"B",G31&lt;&gt;"A"),AND(NOT(OR(F31="Checking",F31="Savings")),F31&lt;&gt;M31))),AND(OR(D31="InternalTransfer",D31="BoundaryTransfer"),OR(NOT(OR(F31="Checking",F31="Savings")),NOT(OR(G31="Checking",G31="Savings")),F31=G31)),AND(D31&lt;&gt;"Expense",D31&lt;&gt;"Refund",D31&lt;&gt;"Contribution",D31&lt;&gt;"ReturnContribution",D31&lt;&gt;"Settlement",D31&lt;&gt;"PersonalSupport",D31&lt;&gt;"InternalTransfer",D31&lt;&gt;"BoundaryTransfer"),AND(Setup!$B$8="None",OR(OR(F31="Checking",F31="Savings"),OR(G31="Checking",G31="Savings"))),AND(Setup!$B$8="Checking",Setup!$B$23&lt;&gt;"Active",OR(F31="Savings",G31="Savings")),AND(T31=1,MIN(AI31:AJ31)&lt; -0.005),AND(N31="Cash only",D31&lt;&gt;"Expense"),AND(N31="Allocation only",D31&lt;&gt;"Expense")),"CHECK CASH / SCOPE","READY")))))),"CHECK INVALID INPUT")</f>
        <v>UNUSED</v>
      </c>
      <c r="R31" t="str">
        <f>IFERROR(IF(AND(C31="Historical",D31="Expense",OR(IFERROR(INDEX(Agreements!$Z$5:$Z$16,MATCH(H31,Agreements!$A$5:$A$16,0)),"MISSING")&lt;&gt;"READY",B31&lt;IFERROR(INDEX(Agreements!$C$5:$C$16,MATCH(H31,Agreements!$A$5:$A$16,0)),0),B31&gt;IFERROR(INDEX(Agreements!$D$5:$D$16,MATCH(H31,Agreements!$A$5:$A$16,0)),0))),"CHECK HISTORICAL AGREEMENT",IF(AND(C31="Confirmed",D31="Refund",AND(IFERROR(INDEX($C$5:$C$64,MATCH(I31,$A$5:$A$64,0)),"")&lt;&gt;"Confirmed",IFERROR(INDEX($C$5:$C$64,MATCH(I31,$A$5:$A$64,0)),"")&lt;&gt;"Historical")),"CHECK REFUND SOURCE STATUS",IF(COUNTA(A31:P31)=0,"UNUSED",IF(OR(C31="Expected",C31="Historical"),"NOT CURRENT",IF(C31="Disputed","DISPUTED — CLOSE PENDING",IF(N31="Cash only",IF(ABS(BD31-E31)&lt;0.005,"READY","CHECK ALLOCATION TOTAL"),IF(OR(D31="Expense",D31="Refund"),IF(OR(IFERROR(INDEX(Agreements!$Z$5:$Z$16,MATCH(H31,Agreements!$A$5:$A$16,0)),0)&lt;&gt;"READY",AND(D31="Expense",OR(B31&lt;IFERROR(INDEX(Agreements!$C$5:$C$16,MATCH(H31,Agreements!$A$5:$A$16,0)),0),B31&gt;IFERROR(INDEX(Agreements!$D$5:$D$16,MATCH(H31,Agreements!$A$5:$A$16,0)),0))),AND(D31="Refund",OR(IFERROR(INDEX($D$5:$D$64,MATCH(I31,$A$5:$A$64,0)),"")&lt;&gt;"Expense",IFERROR(INDEX($H$5:$H$64,MATCH(I31,$A$5:$A$64,0)),"")&lt;&gt;H31,SUMIFS($E$5:$E$64,$I$5:$I$64,I31,$D$5:$D$64,"Refund",$C$5:$C$64,"&lt;&gt;Expected")&gt;N(IFERROR(INDEX($E$5:$E$64,MATCH(I31,$A$5:$A$64,0)),""))+0.005,I31="")),AND(N31="Allocation only",OR(O31="",IFERROR(INDEX($F$5:$F$64,MATCH(O31,$A$5:$A$64,0)),"")&lt;&gt;F31,IFERROR(INDEX($N$5:$N$64,MATCH(O31,$A$5:$A$64,0)),"")&lt;&gt;"Cash only")),AND(Setup!$B$8="Checking",OR(F31="Savings",G31="Savings"))),"CHECK AGREEMENT / REFUND / SCOPE","READY"),"READY"))))))),"CHECK INVALID INPUT")</f>
        <v>UNUSED</v>
      </c>
      <c r="S31" t="str">
        <f t="shared" si="27"/>
        <v>UNUSED</v>
      </c>
      <c r="T31">
        <f t="shared" si="0"/>
        <v>0</v>
      </c>
      <c r="U31">
        <f t="shared" si="1"/>
        <v>0</v>
      </c>
      <c r="V31">
        <f>IFERROR(MATCH(H31,Agreements!$A$5:$A$16,0),0)</f>
        <v>0</v>
      </c>
      <c r="W31" s="6">
        <f>IF(D31="Refund",IFERROR(INDEX(Agreements!$AA$5:$AA$16,MATCH(IFERROR(INDEX($H$5:$H$64,MATCH(I31,$A$5:$A$64,0)),""),Agreements!$A$5:$A$16,0)),0),IFERROR(INDEX(Agreements!$AA$5:$AA$16,MATCH(H31,Agreements!$A$5:$A$16,0)),0))</f>
        <v>0</v>
      </c>
      <c r="X31" s="3">
        <f t="shared" si="2"/>
        <v>0</v>
      </c>
      <c r="Y31" s="3">
        <f t="shared" si="3"/>
        <v>0</v>
      </c>
      <c r="Z31" s="3">
        <f t="shared" si="4"/>
        <v>0</v>
      </c>
      <c r="AA31" s="3">
        <f t="shared" si="5"/>
        <v>0</v>
      </c>
      <c r="AB31" s="3">
        <f t="shared" si="6"/>
        <v>0</v>
      </c>
      <c r="AC31" s="3">
        <f t="shared" si="7"/>
        <v>0</v>
      </c>
      <c r="AD31" s="3">
        <f t="shared" si="8"/>
        <v>0</v>
      </c>
      <c r="AE31" s="3">
        <f t="shared" si="9"/>
        <v>0</v>
      </c>
      <c r="AF31" s="3">
        <f t="shared" si="10"/>
        <v>0</v>
      </c>
      <c r="AG31" s="3">
        <f t="shared" si="11"/>
        <v>0</v>
      </c>
      <c r="AH31" s="3">
        <f t="shared" si="12"/>
        <v>0</v>
      </c>
      <c r="AI31" s="3">
        <f>N(Setup!$B$12)+SUM(AC$5:AC31)</f>
        <v>0</v>
      </c>
      <c r="AJ31" s="3">
        <f>N(Setup!$B$18)+SUM(AD$5:AD31)</f>
        <v>0</v>
      </c>
      <c r="AK31" s="3">
        <f>N(Setup!$B$13)+SUM(AE$5:AE31)</f>
        <v>0</v>
      </c>
      <c r="AL31" s="3">
        <f>N(Setup!$B$14)+SUM(AF$5:AF31)</f>
        <v>0</v>
      </c>
      <c r="AM31" s="3">
        <f>N(Setup!$B$19)+SUM(AG$5:AG31)</f>
        <v>0</v>
      </c>
      <c r="AN31" s="3">
        <f>N(Setup!$B$20)+SUM(AH$5:AH31)</f>
        <v>0</v>
      </c>
      <c r="AO31" s="3">
        <f t="shared" si="13"/>
        <v>0</v>
      </c>
      <c r="AP31" s="3">
        <f t="shared" si="14"/>
        <v>0</v>
      </c>
      <c r="AQ31" s="3">
        <f t="shared" si="15"/>
        <v>0</v>
      </c>
      <c r="AR31" s="3">
        <f t="shared" si="16"/>
        <v>0</v>
      </c>
      <c r="AS31" s="3">
        <f t="shared" si="17"/>
        <v>0</v>
      </c>
      <c r="AT31" s="3">
        <f t="shared" si="18"/>
        <v>0</v>
      </c>
      <c r="AU31" s="3">
        <f t="shared" si="19"/>
        <v>0</v>
      </c>
      <c r="AV31" s="3">
        <f t="shared" si="20"/>
        <v>0</v>
      </c>
      <c r="AW31" s="3">
        <f t="shared" si="21"/>
        <v>0</v>
      </c>
      <c r="AX31" s="3">
        <f t="shared" si="22"/>
        <v>0</v>
      </c>
      <c r="AY31" s="3">
        <f t="shared" si="23"/>
        <v>0</v>
      </c>
      <c r="AZ31" t="b">
        <f t="shared" si="24"/>
        <v>0</v>
      </c>
      <c r="BA31" t="b">
        <f>OR(AND(F31="Checking",Setup!$B$8&lt;&gt;"None"),AND(F31="Savings",Setup!$B$8="Combined"))</f>
        <v>0</v>
      </c>
      <c r="BB31" t="b">
        <f>OR(AND(G31="Checking",Setup!$B$8&lt;&gt;"None"),AND(G31="Savings",Setup!$B$8="Combined"))</f>
        <v>0</v>
      </c>
      <c r="BC31" t="b">
        <f t="shared" si="25"/>
        <v>0</v>
      </c>
      <c r="BD31" s="3">
        <f t="shared" si="26"/>
        <v>0</v>
      </c>
    </row>
    <row r="32" spans="1:56" ht="63.95" customHeight="1" x14ac:dyDescent="0.25">
      <c r="A32" s="4"/>
      <c r="B32" s="7"/>
      <c r="C32" s="4"/>
      <c r="D32" s="4"/>
      <c r="E32" s="2"/>
      <c r="F32" s="4"/>
      <c r="G32" s="4"/>
      <c r="H32" s="4"/>
      <c r="I32" s="4"/>
      <c r="J32" s="4"/>
      <c r="K32" s="2"/>
      <c r="L32" s="2"/>
      <c r="M32" s="4"/>
      <c r="N32" s="4"/>
      <c r="O32" s="4"/>
      <c r="P32" s="4"/>
      <c r="Q32" t="str">
        <f>IFERROR(IF(AND(T32=1,SUMPRODUCT(--($B$5:B31&gt;B32),$T$5:T31)&gt;0),"CHECK CASH DATE ORDER",IF(COUNTA(A32:P32)=0,"UNUSED",IF(OR(A32="",NOT(ISNUMBER(B32)),NOT(ISNUMBER(E32)),E32&lt;0,COUNTIF($A$5:$A$64,A32)&lt;&gt;1,AND(C32&lt;&gt;"Confirmed",C32&lt;&gt;"Disputed",C32&lt;&gt;"Expected",C32&lt;&gt;"Historical"),AND(N32&lt;&gt;"Cash + allocation",N32&lt;&gt;"Cash only",N32&lt;&gt;"Allocation only"),LEN(TRIM(P32))=0),"CHECK ID / AMOUNT / STATUS",IF(C32="Expected","EXPECTED — EXCLUDED",IF(C32="Historical",IF(B32&lt;Setup!$B$6,"HISTORICAL — NO CASH","CHECK HISTORICAL DATE"),IF(OR(B32&lt;Setup!$B$6,B32&gt;Setup!$B$7,AND(D32="Expense",OR(AND(F32&lt;&gt;"A",F32&lt;&gt;"B",F32&lt;&gt;"Checking",F32&lt;&gt;"Savings"),G32&lt;&gt;"Merchant")),AND(D32="Refund",OR(F32&lt;&gt;"Merchant",AND(G32&lt;&gt;"A",G32&lt;&gt;"B",G32&lt;&gt;"Checking",G32&lt;&gt;"Savings"))),AND(D32="Contribution",OR(AND(F32&lt;&gt;"A",F32&lt;&gt;"B"),NOT(OR(G32="Checking",G32="Savings")))),AND(D32="ReturnContribution",OR(NOT(OR(F32="Checking",F32="Savings")),AND(G32&lt;&gt;"A",G32&lt;&gt;"B"))),AND(OR(D32="Settlement",D32="PersonalSupport"),OR(AND(M32&lt;&gt;"A",M32&lt;&gt;"B"),IF(M32="A",G32&lt;&gt;"B",G32&lt;&gt;"A"),AND(NOT(OR(F32="Checking",F32="Savings")),F32&lt;&gt;M32))),AND(OR(D32="InternalTransfer",D32="BoundaryTransfer"),OR(NOT(OR(F32="Checking",F32="Savings")),NOT(OR(G32="Checking",G32="Savings")),F32=G32)),AND(D32&lt;&gt;"Expense",D32&lt;&gt;"Refund",D32&lt;&gt;"Contribution",D32&lt;&gt;"ReturnContribution",D32&lt;&gt;"Settlement",D32&lt;&gt;"PersonalSupport",D32&lt;&gt;"InternalTransfer",D32&lt;&gt;"BoundaryTransfer"),AND(Setup!$B$8="None",OR(OR(F32="Checking",F32="Savings"),OR(G32="Checking",G32="Savings"))),AND(Setup!$B$8="Checking",Setup!$B$23&lt;&gt;"Active",OR(F32="Savings",G32="Savings")),AND(T32=1,MIN(AI32:AJ32)&lt; -0.005),AND(N32="Cash only",D32&lt;&gt;"Expense"),AND(N32="Allocation only",D32&lt;&gt;"Expense")),"CHECK CASH / SCOPE","READY")))))),"CHECK INVALID INPUT")</f>
        <v>UNUSED</v>
      </c>
      <c r="R32" t="str">
        <f>IFERROR(IF(AND(C32="Historical",D32="Expense",OR(IFERROR(INDEX(Agreements!$Z$5:$Z$16,MATCH(H32,Agreements!$A$5:$A$16,0)),"MISSING")&lt;&gt;"READY",B32&lt;IFERROR(INDEX(Agreements!$C$5:$C$16,MATCH(H32,Agreements!$A$5:$A$16,0)),0),B32&gt;IFERROR(INDEX(Agreements!$D$5:$D$16,MATCH(H32,Agreements!$A$5:$A$16,0)),0))),"CHECK HISTORICAL AGREEMENT",IF(AND(C32="Confirmed",D32="Refund",AND(IFERROR(INDEX($C$5:$C$64,MATCH(I32,$A$5:$A$64,0)),"")&lt;&gt;"Confirmed",IFERROR(INDEX($C$5:$C$64,MATCH(I32,$A$5:$A$64,0)),"")&lt;&gt;"Historical")),"CHECK REFUND SOURCE STATUS",IF(COUNTA(A32:P32)=0,"UNUSED",IF(OR(C32="Expected",C32="Historical"),"NOT CURRENT",IF(C32="Disputed","DISPUTED — CLOSE PENDING",IF(N32="Cash only",IF(ABS(BD32-E32)&lt;0.005,"READY","CHECK ALLOCATION TOTAL"),IF(OR(D32="Expense",D32="Refund"),IF(OR(IFERROR(INDEX(Agreements!$Z$5:$Z$16,MATCH(H32,Agreements!$A$5:$A$16,0)),0)&lt;&gt;"READY",AND(D32="Expense",OR(B32&lt;IFERROR(INDEX(Agreements!$C$5:$C$16,MATCH(H32,Agreements!$A$5:$A$16,0)),0),B32&gt;IFERROR(INDEX(Agreements!$D$5:$D$16,MATCH(H32,Agreements!$A$5:$A$16,0)),0))),AND(D32="Refund",OR(IFERROR(INDEX($D$5:$D$64,MATCH(I32,$A$5:$A$64,0)),"")&lt;&gt;"Expense",IFERROR(INDEX($H$5:$H$64,MATCH(I32,$A$5:$A$64,0)),"")&lt;&gt;H32,SUMIFS($E$5:$E$64,$I$5:$I$64,I32,$D$5:$D$64,"Refund",$C$5:$C$64,"&lt;&gt;Expected")&gt;N(IFERROR(INDEX($E$5:$E$64,MATCH(I32,$A$5:$A$64,0)),""))+0.005,I32="")),AND(N32="Allocation only",OR(O32="",IFERROR(INDEX($F$5:$F$64,MATCH(O32,$A$5:$A$64,0)),"")&lt;&gt;F32,IFERROR(INDEX($N$5:$N$64,MATCH(O32,$A$5:$A$64,0)),"")&lt;&gt;"Cash only")),AND(Setup!$B$8="Checking",OR(F32="Savings",G32="Savings"))),"CHECK AGREEMENT / REFUND / SCOPE","READY"),"READY"))))))),"CHECK INVALID INPUT")</f>
        <v>UNUSED</v>
      </c>
      <c r="S32" t="str">
        <f t="shared" si="27"/>
        <v>UNUSED</v>
      </c>
      <c r="T32">
        <f t="shared" si="0"/>
        <v>0</v>
      </c>
      <c r="U32">
        <f t="shared" si="1"/>
        <v>0</v>
      </c>
      <c r="V32">
        <f>IFERROR(MATCH(H32,Agreements!$A$5:$A$16,0),0)</f>
        <v>0</v>
      </c>
      <c r="W32" s="6">
        <f>IF(D32="Refund",IFERROR(INDEX(Agreements!$AA$5:$AA$16,MATCH(IFERROR(INDEX($H$5:$H$64,MATCH(I32,$A$5:$A$64,0)),""),Agreements!$A$5:$A$16,0)),0),IFERROR(INDEX(Agreements!$AA$5:$AA$16,MATCH(H32,Agreements!$A$5:$A$16,0)),0))</f>
        <v>0</v>
      </c>
      <c r="X32" s="3">
        <f t="shared" si="2"/>
        <v>0</v>
      </c>
      <c r="Y32" s="3">
        <f t="shared" si="3"/>
        <v>0</v>
      </c>
      <c r="Z32" s="3">
        <f t="shared" si="4"/>
        <v>0</v>
      </c>
      <c r="AA32" s="3">
        <f t="shared" si="5"/>
        <v>0</v>
      </c>
      <c r="AB32" s="3">
        <f t="shared" si="6"/>
        <v>0</v>
      </c>
      <c r="AC32" s="3">
        <f t="shared" si="7"/>
        <v>0</v>
      </c>
      <c r="AD32" s="3">
        <f t="shared" si="8"/>
        <v>0</v>
      </c>
      <c r="AE32" s="3">
        <f t="shared" si="9"/>
        <v>0</v>
      </c>
      <c r="AF32" s="3">
        <f t="shared" si="10"/>
        <v>0</v>
      </c>
      <c r="AG32" s="3">
        <f t="shared" si="11"/>
        <v>0</v>
      </c>
      <c r="AH32" s="3">
        <f t="shared" si="12"/>
        <v>0</v>
      </c>
      <c r="AI32" s="3">
        <f>N(Setup!$B$12)+SUM(AC$5:AC32)</f>
        <v>0</v>
      </c>
      <c r="AJ32" s="3">
        <f>N(Setup!$B$18)+SUM(AD$5:AD32)</f>
        <v>0</v>
      </c>
      <c r="AK32" s="3">
        <f>N(Setup!$B$13)+SUM(AE$5:AE32)</f>
        <v>0</v>
      </c>
      <c r="AL32" s="3">
        <f>N(Setup!$B$14)+SUM(AF$5:AF32)</f>
        <v>0</v>
      </c>
      <c r="AM32" s="3">
        <f>N(Setup!$B$19)+SUM(AG$5:AG32)</f>
        <v>0</v>
      </c>
      <c r="AN32" s="3">
        <f>N(Setup!$B$20)+SUM(AH$5:AH32)</f>
        <v>0</v>
      </c>
      <c r="AO32" s="3">
        <f t="shared" si="13"/>
        <v>0</v>
      </c>
      <c r="AP32" s="3">
        <f t="shared" si="14"/>
        <v>0</v>
      </c>
      <c r="AQ32" s="3">
        <f t="shared" si="15"/>
        <v>0</v>
      </c>
      <c r="AR32" s="3">
        <f t="shared" si="16"/>
        <v>0</v>
      </c>
      <c r="AS32" s="3">
        <f t="shared" si="17"/>
        <v>0</v>
      </c>
      <c r="AT32" s="3">
        <f t="shared" si="18"/>
        <v>0</v>
      </c>
      <c r="AU32" s="3">
        <f t="shared" si="19"/>
        <v>0</v>
      </c>
      <c r="AV32" s="3">
        <f t="shared" si="20"/>
        <v>0</v>
      </c>
      <c r="AW32" s="3">
        <f t="shared" si="21"/>
        <v>0</v>
      </c>
      <c r="AX32" s="3">
        <f t="shared" si="22"/>
        <v>0</v>
      </c>
      <c r="AY32" s="3">
        <f t="shared" si="23"/>
        <v>0</v>
      </c>
      <c r="AZ32" t="b">
        <f t="shared" si="24"/>
        <v>0</v>
      </c>
      <c r="BA32" t="b">
        <f>OR(AND(F32="Checking",Setup!$B$8&lt;&gt;"None"),AND(F32="Savings",Setup!$B$8="Combined"))</f>
        <v>0</v>
      </c>
      <c r="BB32" t="b">
        <f>OR(AND(G32="Checking",Setup!$B$8&lt;&gt;"None"),AND(G32="Savings",Setup!$B$8="Combined"))</f>
        <v>0</v>
      </c>
      <c r="BC32" t="b">
        <f t="shared" si="25"/>
        <v>0</v>
      </c>
      <c r="BD32" s="3">
        <f t="shared" si="26"/>
        <v>0</v>
      </c>
    </row>
    <row r="33" spans="1:56" ht="63.95" customHeight="1" x14ac:dyDescent="0.25">
      <c r="A33" s="4"/>
      <c r="B33" s="7"/>
      <c r="C33" s="4"/>
      <c r="D33" s="4"/>
      <c r="E33" s="2"/>
      <c r="F33" s="4"/>
      <c r="G33" s="4"/>
      <c r="H33" s="4"/>
      <c r="I33" s="4"/>
      <c r="J33" s="4"/>
      <c r="K33" s="2"/>
      <c r="L33" s="2"/>
      <c r="M33" s="4"/>
      <c r="N33" s="4"/>
      <c r="O33" s="4"/>
      <c r="P33" s="4"/>
      <c r="Q33" t="str">
        <f>IFERROR(IF(AND(T33=1,SUMPRODUCT(--($B$5:B32&gt;B33),$T$5:T32)&gt;0),"CHECK CASH DATE ORDER",IF(COUNTA(A33:P33)=0,"UNUSED",IF(OR(A33="",NOT(ISNUMBER(B33)),NOT(ISNUMBER(E33)),E33&lt;0,COUNTIF($A$5:$A$64,A33)&lt;&gt;1,AND(C33&lt;&gt;"Confirmed",C33&lt;&gt;"Disputed",C33&lt;&gt;"Expected",C33&lt;&gt;"Historical"),AND(N33&lt;&gt;"Cash + allocation",N33&lt;&gt;"Cash only",N33&lt;&gt;"Allocation only"),LEN(TRIM(P33))=0),"CHECK ID / AMOUNT / STATUS",IF(C33="Expected","EXPECTED — EXCLUDED",IF(C33="Historical",IF(B33&lt;Setup!$B$6,"HISTORICAL — NO CASH","CHECK HISTORICAL DATE"),IF(OR(B33&lt;Setup!$B$6,B33&gt;Setup!$B$7,AND(D33="Expense",OR(AND(F33&lt;&gt;"A",F33&lt;&gt;"B",F33&lt;&gt;"Checking",F33&lt;&gt;"Savings"),G33&lt;&gt;"Merchant")),AND(D33="Refund",OR(F33&lt;&gt;"Merchant",AND(G33&lt;&gt;"A",G33&lt;&gt;"B",G33&lt;&gt;"Checking",G33&lt;&gt;"Savings"))),AND(D33="Contribution",OR(AND(F33&lt;&gt;"A",F33&lt;&gt;"B"),NOT(OR(G33="Checking",G33="Savings")))),AND(D33="ReturnContribution",OR(NOT(OR(F33="Checking",F33="Savings")),AND(G33&lt;&gt;"A",G33&lt;&gt;"B"))),AND(OR(D33="Settlement",D33="PersonalSupport"),OR(AND(M33&lt;&gt;"A",M33&lt;&gt;"B"),IF(M33="A",G33&lt;&gt;"B",G33&lt;&gt;"A"),AND(NOT(OR(F33="Checking",F33="Savings")),F33&lt;&gt;M33))),AND(OR(D33="InternalTransfer",D33="BoundaryTransfer"),OR(NOT(OR(F33="Checking",F33="Savings")),NOT(OR(G33="Checking",G33="Savings")),F33=G33)),AND(D33&lt;&gt;"Expense",D33&lt;&gt;"Refund",D33&lt;&gt;"Contribution",D33&lt;&gt;"ReturnContribution",D33&lt;&gt;"Settlement",D33&lt;&gt;"PersonalSupport",D33&lt;&gt;"InternalTransfer",D33&lt;&gt;"BoundaryTransfer"),AND(Setup!$B$8="None",OR(OR(F33="Checking",F33="Savings"),OR(G33="Checking",G33="Savings"))),AND(Setup!$B$8="Checking",Setup!$B$23&lt;&gt;"Active",OR(F33="Savings",G33="Savings")),AND(T33=1,MIN(AI33:AJ33)&lt; -0.005),AND(N33="Cash only",D33&lt;&gt;"Expense"),AND(N33="Allocation only",D33&lt;&gt;"Expense")),"CHECK CASH / SCOPE","READY")))))),"CHECK INVALID INPUT")</f>
        <v>UNUSED</v>
      </c>
      <c r="R33" t="str">
        <f>IFERROR(IF(AND(C33="Historical",D33="Expense",OR(IFERROR(INDEX(Agreements!$Z$5:$Z$16,MATCH(H33,Agreements!$A$5:$A$16,0)),"MISSING")&lt;&gt;"READY",B33&lt;IFERROR(INDEX(Agreements!$C$5:$C$16,MATCH(H33,Agreements!$A$5:$A$16,0)),0),B33&gt;IFERROR(INDEX(Agreements!$D$5:$D$16,MATCH(H33,Agreements!$A$5:$A$16,0)),0))),"CHECK HISTORICAL AGREEMENT",IF(AND(C33="Confirmed",D33="Refund",AND(IFERROR(INDEX($C$5:$C$64,MATCH(I33,$A$5:$A$64,0)),"")&lt;&gt;"Confirmed",IFERROR(INDEX($C$5:$C$64,MATCH(I33,$A$5:$A$64,0)),"")&lt;&gt;"Historical")),"CHECK REFUND SOURCE STATUS",IF(COUNTA(A33:P33)=0,"UNUSED",IF(OR(C33="Expected",C33="Historical"),"NOT CURRENT",IF(C33="Disputed","DISPUTED — CLOSE PENDING",IF(N33="Cash only",IF(ABS(BD33-E33)&lt;0.005,"READY","CHECK ALLOCATION TOTAL"),IF(OR(D33="Expense",D33="Refund"),IF(OR(IFERROR(INDEX(Agreements!$Z$5:$Z$16,MATCH(H33,Agreements!$A$5:$A$16,0)),0)&lt;&gt;"READY",AND(D33="Expense",OR(B33&lt;IFERROR(INDEX(Agreements!$C$5:$C$16,MATCH(H33,Agreements!$A$5:$A$16,0)),0),B33&gt;IFERROR(INDEX(Agreements!$D$5:$D$16,MATCH(H33,Agreements!$A$5:$A$16,0)),0))),AND(D33="Refund",OR(IFERROR(INDEX($D$5:$D$64,MATCH(I33,$A$5:$A$64,0)),"")&lt;&gt;"Expense",IFERROR(INDEX($H$5:$H$64,MATCH(I33,$A$5:$A$64,0)),"")&lt;&gt;H33,SUMIFS($E$5:$E$64,$I$5:$I$64,I33,$D$5:$D$64,"Refund",$C$5:$C$64,"&lt;&gt;Expected")&gt;N(IFERROR(INDEX($E$5:$E$64,MATCH(I33,$A$5:$A$64,0)),""))+0.005,I33="")),AND(N33="Allocation only",OR(O33="",IFERROR(INDEX($F$5:$F$64,MATCH(O33,$A$5:$A$64,0)),"")&lt;&gt;F33,IFERROR(INDEX($N$5:$N$64,MATCH(O33,$A$5:$A$64,0)),"")&lt;&gt;"Cash only")),AND(Setup!$B$8="Checking",OR(F33="Savings",G33="Savings"))),"CHECK AGREEMENT / REFUND / SCOPE","READY"),"READY"))))))),"CHECK INVALID INPUT")</f>
        <v>UNUSED</v>
      </c>
      <c r="S33" t="str">
        <f t="shared" si="27"/>
        <v>UNUSED</v>
      </c>
      <c r="T33">
        <f t="shared" si="0"/>
        <v>0</v>
      </c>
      <c r="U33">
        <f t="shared" si="1"/>
        <v>0</v>
      </c>
      <c r="V33">
        <f>IFERROR(MATCH(H33,Agreements!$A$5:$A$16,0),0)</f>
        <v>0</v>
      </c>
      <c r="W33" s="6">
        <f>IF(D33="Refund",IFERROR(INDEX(Agreements!$AA$5:$AA$16,MATCH(IFERROR(INDEX($H$5:$H$64,MATCH(I33,$A$5:$A$64,0)),""),Agreements!$A$5:$A$16,0)),0),IFERROR(INDEX(Agreements!$AA$5:$AA$16,MATCH(H33,Agreements!$A$5:$A$16,0)),0))</f>
        <v>0</v>
      </c>
      <c r="X33" s="3">
        <f t="shared" si="2"/>
        <v>0</v>
      </c>
      <c r="Y33" s="3">
        <f t="shared" si="3"/>
        <v>0</v>
      </c>
      <c r="Z33" s="3">
        <f t="shared" si="4"/>
        <v>0</v>
      </c>
      <c r="AA33" s="3">
        <f t="shared" si="5"/>
        <v>0</v>
      </c>
      <c r="AB33" s="3">
        <f t="shared" si="6"/>
        <v>0</v>
      </c>
      <c r="AC33" s="3">
        <f t="shared" si="7"/>
        <v>0</v>
      </c>
      <c r="AD33" s="3">
        <f t="shared" si="8"/>
        <v>0</v>
      </c>
      <c r="AE33" s="3">
        <f t="shared" si="9"/>
        <v>0</v>
      </c>
      <c r="AF33" s="3">
        <f t="shared" si="10"/>
        <v>0</v>
      </c>
      <c r="AG33" s="3">
        <f t="shared" si="11"/>
        <v>0</v>
      </c>
      <c r="AH33" s="3">
        <f t="shared" si="12"/>
        <v>0</v>
      </c>
      <c r="AI33" s="3">
        <f>N(Setup!$B$12)+SUM(AC$5:AC33)</f>
        <v>0</v>
      </c>
      <c r="AJ33" s="3">
        <f>N(Setup!$B$18)+SUM(AD$5:AD33)</f>
        <v>0</v>
      </c>
      <c r="AK33" s="3">
        <f>N(Setup!$B$13)+SUM(AE$5:AE33)</f>
        <v>0</v>
      </c>
      <c r="AL33" s="3">
        <f>N(Setup!$B$14)+SUM(AF$5:AF33)</f>
        <v>0</v>
      </c>
      <c r="AM33" s="3">
        <f>N(Setup!$B$19)+SUM(AG$5:AG33)</f>
        <v>0</v>
      </c>
      <c r="AN33" s="3">
        <f>N(Setup!$B$20)+SUM(AH$5:AH33)</f>
        <v>0</v>
      </c>
      <c r="AO33" s="3">
        <f t="shared" si="13"/>
        <v>0</v>
      </c>
      <c r="AP33" s="3">
        <f t="shared" si="14"/>
        <v>0</v>
      </c>
      <c r="AQ33" s="3">
        <f t="shared" si="15"/>
        <v>0</v>
      </c>
      <c r="AR33" s="3">
        <f t="shared" si="16"/>
        <v>0</v>
      </c>
      <c r="AS33" s="3">
        <f t="shared" si="17"/>
        <v>0</v>
      </c>
      <c r="AT33" s="3">
        <f t="shared" si="18"/>
        <v>0</v>
      </c>
      <c r="AU33" s="3">
        <f t="shared" si="19"/>
        <v>0</v>
      </c>
      <c r="AV33" s="3">
        <f t="shared" si="20"/>
        <v>0</v>
      </c>
      <c r="AW33" s="3">
        <f t="shared" si="21"/>
        <v>0</v>
      </c>
      <c r="AX33" s="3">
        <f t="shared" si="22"/>
        <v>0</v>
      </c>
      <c r="AY33" s="3">
        <f t="shared" si="23"/>
        <v>0</v>
      </c>
      <c r="AZ33" t="b">
        <f t="shared" si="24"/>
        <v>0</v>
      </c>
      <c r="BA33" t="b">
        <f>OR(AND(F33="Checking",Setup!$B$8&lt;&gt;"None"),AND(F33="Savings",Setup!$B$8="Combined"))</f>
        <v>0</v>
      </c>
      <c r="BB33" t="b">
        <f>OR(AND(G33="Checking",Setup!$B$8&lt;&gt;"None"),AND(G33="Savings",Setup!$B$8="Combined"))</f>
        <v>0</v>
      </c>
      <c r="BC33" t="b">
        <f t="shared" si="25"/>
        <v>0</v>
      </c>
      <c r="BD33" s="3">
        <f t="shared" si="26"/>
        <v>0</v>
      </c>
    </row>
    <row r="34" spans="1:56" ht="63.95" customHeight="1" x14ac:dyDescent="0.25">
      <c r="A34" s="4"/>
      <c r="B34" s="7"/>
      <c r="C34" s="4"/>
      <c r="D34" s="4"/>
      <c r="E34" s="2"/>
      <c r="F34" s="4"/>
      <c r="G34" s="4"/>
      <c r="H34" s="4"/>
      <c r="I34" s="4"/>
      <c r="J34" s="4"/>
      <c r="K34" s="2"/>
      <c r="L34" s="2"/>
      <c r="M34" s="4"/>
      <c r="N34" s="4"/>
      <c r="O34" s="4"/>
      <c r="P34" s="4"/>
      <c r="Q34" t="str">
        <f>IFERROR(IF(AND(T34=1,SUMPRODUCT(--($B$5:B33&gt;B34),$T$5:T33)&gt;0),"CHECK CASH DATE ORDER",IF(COUNTA(A34:P34)=0,"UNUSED",IF(OR(A34="",NOT(ISNUMBER(B34)),NOT(ISNUMBER(E34)),E34&lt;0,COUNTIF($A$5:$A$64,A34)&lt;&gt;1,AND(C34&lt;&gt;"Confirmed",C34&lt;&gt;"Disputed",C34&lt;&gt;"Expected",C34&lt;&gt;"Historical"),AND(N34&lt;&gt;"Cash + allocation",N34&lt;&gt;"Cash only",N34&lt;&gt;"Allocation only"),LEN(TRIM(P34))=0),"CHECK ID / AMOUNT / STATUS",IF(C34="Expected","EXPECTED — EXCLUDED",IF(C34="Historical",IF(B34&lt;Setup!$B$6,"HISTORICAL — NO CASH","CHECK HISTORICAL DATE"),IF(OR(B34&lt;Setup!$B$6,B34&gt;Setup!$B$7,AND(D34="Expense",OR(AND(F34&lt;&gt;"A",F34&lt;&gt;"B",F34&lt;&gt;"Checking",F34&lt;&gt;"Savings"),G34&lt;&gt;"Merchant")),AND(D34="Refund",OR(F34&lt;&gt;"Merchant",AND(G34&lt;&gt;"A",G34&lt;&gt;"B",G34&lt;&gt;"Checking",G34&lt;&gt;"Savings"))),AND(D34="Contribution",OR(AND(F34&lt;&gt;"A",F34&lt;&gt;"B"),NOT(OR(G34="Checking",G34="Savings")))),AND(D34="ReturnContribution",OR(NOT(OR(F34="Checking",F34="Savings")),AND(G34&lt;&gt;"A",G34&lt;&gt;"B"))),AND(OR(D34="Settlement",D34="PersonalSupport"),OR(AND(M34&lt;&gt;"A",M34&lt;&gt;"B"),IF(M34="A",G34&lt;&gt;"B",G34&lt;&gt;"A"),AND(NOT(OR(F34="Checking",F34="Savings")),F34&lt;&gt;M34))),AND(OR(D34="InternalTransfer",D34="BoundaryTransfer"),OR(NOT(OR(F34="Checking",F34="Savings")),NOT(OR(G34="Checking",G34="Savings")),F34=G34)),AND(D34&lt;&gt;"Expense",D34&lt;&gt;"Refund",D34&lt;&gt;"Contribution",D34&lt;&gt;"ReturnContribution",D34&lt;&gt;"Settlement",D34&lt;&gt;"PersonalSupport",D34&lt;&gt;"InternalTransfer",D34&lt;&gt;"BoundaryTransfer"),AND(Setup!$B$8="None",OR(OR(F34="Checking",F34="Savings"),OR(G34="Checking",G34="Savings"))),AND(Setup!$B$8="Checking",Setup!$B$23&lt;&gt;"Active",OR(F34="Savings",G34="Savings")),AND(T34=1,MIN(AI34:AJ34)&lt; -0.005),AND(N34="Cash only",D34&lt;&gt;"Expense"),AND(N34="Allocation only",D34&lt;&gt;"Expense")),"CHECK CASH / SCOPE","READY")))))),"CHECK INVALID INPUT")</f>
        <v>UNUSED</v>
      </c>
      <c r="R34" t="str">
        <f>IFERROR(IF(AND(C34="Historical",D34="Expense",OR(IFERROR(INDEX(Agreements!$Z$5:$Z$16,MATCH(H34,Agreements!$A$5:$A$16,0)),"MISSING")&lt;&gt;"READY",B34&lt;IFERROR(INDEX(Agreements!$C$5:$C$16,MATCH(H34,Agreements!$A$5:$A$16,0)),0),B34&gt;IFERROR(INDEX(Agreements!$D$5:$D$16,MATCH(H34,Agreements!$A$5:$A$16,0)),0))),"CHECK HISTORICAL AGREEMENT",IF(AND(C34="Confirmed",D34="Refund",AND(IFERROR(INDEX($C$5:$C$64,MATCH(I34,$A$5:$A$64,0)),"")&lt;&gt;"Confirmed",IFERROR(INDEX($C$5:$C$64,MATCH(I34,$A$5:$A$64,0)),"")&lt;&gt;"Historical")),"CHECK REFUND SOURCE STATUS",IF(COUNTA(A34:P34)=0,"UNUSED",IF(OR(C34="Expected",C34="Historical"),"NOT CURRENT",IF(C34="Disputed","DISPUTED — CLOSE PENDING",IF(N34="Cash only",IF(ABS(BD34-E34)&lt;0.005,"READY","CHECK ALLOCATION TOTAL"),IF(OR(D34="Expense",D34="Refund"),IF(OR(IFERROR(INDEX(Agreements!$Z$5:$Z$16,MATCH(H34,Agreements!$A$5:$A$16,0)),0)&lt;&gt;"READY",AND(D34="Expense",OR(B34&lt;IFERROR(INDEX(Agreements!$C$5:$C$16,MATCH(H34,Agreements!$A$5:$A$16,0)),0),B34&gt;IFERROR(INDEX(Agreements!$D$5:$D$16,MATCH(H34,Agreements!$A$5:$A$16,0)),0))),AND(D34="Refund",OR(IFERROR(INDEX($D$5:$D$64,MATCH(I34,$A$5:$A$64,0)),"")&lt;&gt;"Expense",IFERROR(INDEX($H$5:$H$64,MATCH(I34,$A$5:$A$64,0)),"")&lt;&gt;H34,SUMIFS($E$5:$E$64,$I$5:$I$64,I34,$D$5:$D$64,"Refund",$C$5:$C$64,"&lt;&gt;Expected")&gt;N(IFERROR(INDEX($E$5:$E$64,MATCH(I34,$A$5:$A$64,0)),""))+0.005,I34="")),AND(N34="Allocation only",OR(O34="",IFERROR(INDEX($F$5:$F$64,MATCH(O34,$A$5:$A$64,0)),"")&lt;&gt;F34,IFERROR(INDEX($N$5:$N$64,MATCH(O34,$A$5:$A$64,0)),"")&lt;&gt;"Cash only")),AND(Setup!$B$8="Checking",OR(F34="Savings",G34="Savings"))),"CHECK AGREEMENT / REFUND / SCOPE","READY"),"READY"))))))),"CHECK INVALID INPUT")</f>
        <v>UNUSED</v>
      </c>
      <c r="S34" t="str">
        <f t="shared" si="27"/>
        <v>UNUSED</v>
      </c>
      <c r="T34">
        <f t="shared" si="0"/>
        <v>0</v>
      </c>
      <c r="U34">
        <f t="shared" si="1"/>
        <v>0</v>
      </c>
      <c r="V34">
        <f>IFERROR(MATCH(H34,Agreements!$A$5:$A$16,0),0)</f>
        <v>0</v>
      </c>
      <c r="W34" s="6">
        <f>IF(D34="Refund",IFERROR(INDEX(Agreements!$AA$5:$AA$16,MATCH(IFERROR(INDEX($H$5:$H$64,MATCH(I34,$A$5:$A$64,0)),""),Agreements!$A$5:$A$16,0)),0),IFERROR(INDEX(Agreements!$AA$5:$AA$16,MATCH(H34,Agreements!$A$5:$A$16,0)),0))</f>
        <v>0</v>
      </c>
      <c r="X34" s="3">
        <f t="shared" si="2"/>
        <v>0</v>
      </c>
      <c r="Y34" s="3">
        <f t="shared" si="3"/>
        <v>0</v>
      </c>
      <c r="Z34" s="3">
        <f t="shared" si="4"/>
        <v>0</v>
      </c>
      <c r="AA34" s="3">
        <f t="shared" si="5"/>
        <v>0</v>
      </c>
      <c r="AB34" s="3">
        <f t="shared" si="6"/>
        <v>0</v>
      </c>
      <c r="AC34" s="3">
        <f t="shared" si="7"/>
        <v>0</v>
      </c>
      <c r="AD34" s="3">
        <f t="shared" si="8"/>
        <v>0</v>
      </c>
      <c r="AE34" s="3">
        <f t="shared" si="9"/>
        <v>0</v>
      </c>
      <c r="AF34" s="3">
        <f t="shared" si="10"/>
        <v>0</v>
      </c>
      <c r="AG34" s="3">
        <f t="shared" si="11"/>
        <v>0</v>
      </c>
      <c r="AH34" s="3">
        <f t="shared" si="12"/>
        <v>0</v>
      </c>
      <c r="AI34" s="3">
        <f>N(Setup!$B$12)+SUM(AC$5:AC34)</f>
        <v>0</v>
      </c>
      <c r="AJ34" s="3">
        <f>N(Setup!$B$18)+SUM(AD$5:AD34)</f>
        <v>0</v>
      </c>
      <c r="AK34" s="3">
        <f>N(Setup!$B$13)+SUM(AE$5:AE34)</f>
        <v>0</v>
      </c>
      <c r="AL34" s="3">
        <f>N(Setup!$B$14)+SUM(AF$5:AF34)</f>
        <v>0</v>
      </c>
      <c r="AM34" s="3">
        <f>N(Setup!$B$19)+SUM(AG$5:AG34)</f>
        <v>0</v>
      </c>
      <c r="AN34" s="3">
        <f>N(Setup!$B$20)+SUM(AH$5:AH34)</f>
        <v>0</v>
      </c>
      <c r="AO34" s="3">
        <f t="shared" si="13"/>
        <v>0</v>
      </c>
      <c r="AP34" s="3">
        <f t="shared" si="14"/>
        <v>0</v>
      </c>
      <c r="AQ34" s="3">
        <f t="shared" si="15"/>
        <v>0</v>
      </c>
      <c r="AR34" s="3">
        <f t="shared" si="16"/>
        <v>0</v>
      </c>
      <c r="AS34" s="3">
        <f t="shared" si="17"/>
        <v>0</v>
      </c>
      <c r="AT34" s="3">
        <f t="shared" si="18"/>
        <v>0</v>
      </c>
      <c r="AU34" s="3">
        <f t="shared" si="19"/>
        <v>0</v>
      </c>
      <c r="AV34" s="3">
        <f t="shared" si="20"/>
        <v>0</v>
      </c>
      <c r="AW34" s="3">
        <f t="shared" si="21"/>
        <v>0</v>
      </c>
      <c r="AX34" s="3">
        <f t="shared" si="22"/>
        <v>0</v>
      </c>
      <c r="AY34" s="3">
        <f t="shared" si="23"/>
        <v>0</v>
      </c>
      <c r="AZ34" t="b">
        <f t="shared" si="24"/>
        <v>0</v>
      </c>
      <c r="BA34" t="b">
        <f>OR(AND(F34="Checking",Setup!$B$8&lt;&gt;"None"),AND(F34="Savings",Setup!$B$8="Combined"))</f>
        <v>0</v>
      </c>
      <c r="BB34" t="b">
        <f>OR(AND(G34="Checking",Setup!$B$8&lt;&gt;"None"),AND(G34="Savings",Setup!$B$8="Combined"))</f>
        <v>0</v>
      </c>
      <c r="BC34" t="b">
        <f t="shared" si="25"/>
        <v>0</v>
      </c>
      <c r="BD34" s="3">
        <f t="shared" si="26"/>
        <v>0</v>
      </c>
    </row>
    <row r="35" spans="1:56" ht="63.95" customHeight="1" x14ac:dyDescent="0.25">
      <c r="A35" s="4"/>
      <c r="B35" s="7"/>
      <c r="C35" s="4"/>
      <c r="D35" s="4"/>
      <c r="E35" s="2"/>
      <c r="F35" s="4"/>
      <c r="G35" s="4"/>
      <c r="H35" s="4"/>
      <c r="I35" s="4"/>
      <c r="J35" s="4"/>
      <c r="K35" s="2"/>
      <c r="L35" s="2"/>
      <c r="M35" s="4"/>
      <c r="N35" s="4"/>
      <c r="O35" s="4"/>
      <c r="P35" s="4"/>
      <c r="Q35" t="str">
        <f>IFERROR(IF(AND(T35=1,SUMPRODUCT(--($B$5:B34&gt;B35),$T$5:T34)&gt;0),"CHECK CASH DATE ORDER",IF(COUNTA(A35:P35)=0,"UNUSED",IF(OR(A35="",NOT(ISNUMBER(B35)),NOT(ISNUMBER(E35)),E35&lt;0,COUNTIF($A$5:$A$64,A35)&lt;&gt;1,AND(C35&lt;&gt;"Confirmed",C35&lt;&gt;"Disputed",C35&lt;&gt;"Expected",C35&lt;&gt;"Historical"),AND(N35&lt;&gt;"Cash + allocation",N35&lt;&gt;"Cash only",N35&lt;&gt;"Allocation only"),LEN(TRIM(P35))=0),"CHECK ID / AMOUNT / STATUS",IF(C35="Expected","EXPECTED — EXCLUDED",IF(C35="Historical",IF(B35&lt;Setup!$B$6,"HISTORICAL — NO CASH","CHECK HISTORICAL DATE"),IF(OR(B35&lt;Setup!$B$6,B35&gt;Setup!$B$7,AND(D35="Expense",OR(AND(F35&lt;&gt;"A",F35&lt;&gt;"B",F35&lt;&gt;"Checking",F35&lt;&gt;"Savings"),G35&lt;&gt;"Merchant")),AND(D35="Refund",OR(F35&lt;&gt;"Merchant",AND(G35&lt;&gt;"A",G35&lt;&gt;"B",G35&lt;&gt;"Checking",G35&lt;&gt;"Savings"))),AND(D35="Contribution",OR(AND(F35&lt;&gt;"A",F35&lt;&gt;"B"),NOT(OR(G35="Checking",G35="Savings")))),AND(D35="ReturnContribution",OR(NOT(OR(F35="Checking",F35="Savings")),AND(G35&lt;&gt;"A",G35&lt;&gt;"B"))),AND(OR(D35="Settlement",D35="PersonalSupport"),OR(AND(M35&lt;&gt;"A",M35&lt;&gt;"B"),IF(M35="A",G35&lt;&gt;"B",G35&lt;&gt;"A"),AND(NOT(OR(F35="Checking",F35="Savings")),F35&lt;&gt;M35))),AND(OR(D35="InternalTransfer",D35="BoundaryTransfer"),OR(NOT(OR(F35="Checking",F35="Savings")),NOT(OR(G35="Checking",G35="Savings")),F35=G35)),AND(D35&lt;&gt;"Expense",D35&lt;&gt;"Refund",D35&lt;&gt;"Contribution",D35&lt;&gt;"ReturnContribution",D35&lt;&gt;"Settlement",D35&lt;&gt;"PersonalSupport",D35&lt;&gt;"InternalTransfer",D35&lt;&gt;"BoundaryTransfer"),AND(Setup!$B$8="None",OR(OR(F35="Checking",F35="Savings"),OR(G35="Checking",G35="Savings"))),AND(Setup!$B$8="Checking",Setup!$B$23&lt;&gt;"Active",OR(F35="Savings",G35="Savings")),AND(T35=1,MIN(AI35:AJ35)&lt; -0.005),AND(N35="Cash only",D35&lt;&gt;"Expense"),AND(N35="Allocation only",D35&lt;&gt;"Expense")),"CHECK CASH / SCOPE","READY")))))),"CHECK INVALID INPUT")</f>
        <v>UNUSED</v>
      </c>
      <c r="R35" t="str">
        <f>IFERROR(IF(AND(C35="Historical",D35="Expense",OR(IFERROR(INDEX(Agreements!$Z$5:$Z$16,MATCH(H35,Agreements!$A$5:$A$16,0)),"MISSING")&lt;&gt;"READY",B35&lt;IFERROR(INDEX(Agreements!$C$5:$C$16,MATCH(H35,Agreements!$A$5:$A$16,0)),0),B35&gt;IFERROR(INDEX(Agreements!$D$5:$D$16,MATCH(H35,Agreements!$A$5:$A$16,0)),0))),"CHECK HISTORICAL AGREEMENT",IF(AND(C35="Confirmed",D35="Refund",AND(IFERROR(INDEX($C$5:$C$64,MATCH(I35,$A$5:$A$64,0)),"")&lt;&gt;"Confirmed",IFERROR(INDEX($C$5:$C$64,MATCH(I35,$A$5:$A$64,0)),"")&lt;&gt;"Historical")),"CHECK REFUND SOURCE STATUS",IF(COUNTA(A35:P35)=0,"UNUSED",IF(OR(C35="Expected",C35="Historical"),"NOT CURRENT",IF(C35="Disputed","DISPUTED — CLOSE PENDING",IF(N35="Cash only",IF(ABS(BD35-E35)&lt;0.005,"READY","CHECK ALLOCATION TOTAL"),IF(OR(D35="Expense",D35="Refund"),IF(OR(IFERROR(INDEX(Agreements!$Z$5:$Z$16,MATCH(H35,Agreements!$A$5:$A$16,0)),0)&lt;&gt;"READY",AND(D35="Expense",OR(B35&lt;IFERROR(INDEX(Agreements!$C$5:$C$16,MATCH(H35,Agreements!$A$5:$A$16,0)),0),B35&gt;IFERROR(INDEX(Agreements!$D$5:$D$16,MATCH(H35,Agreements!$A$5:$A$16,0)),0))),AND(D35="Refund",OR(IFERROR(INDEX($D$5:$D$64,MATCH(I35,$A$5:$A$64,0)),"")&lt;&gt;"Expense",IFERROR(INDEX($H$5:$H$64,MATCH(I35,$A$5:$A$64,0)),"")&lt;&gt;H35,SUMIFS($E$5:$E$64,$I$5:$I$64,I35,$D$5:$D$64,"Refund",$C$5:$C$64,"&lt;&gt;Expected")&gt;N(IFERROR(INDEX($E$5:$E$64,MATCH(I35,$A$5:$A$64,0)),""))+0.005,I35="")),AND(N35="Allocation only",OR(O35="",IFERROR(INDEX($F$5:$F$64,MATCH(O35,$A$5:$A$64,0)),"")&lt;&gt;F35,IFERROR(INDEX($N$5:$N$64,MATCH(O35,$A$5:$A$64,0)),"")&lt;&gt;"Cash only")),AND(Setup!$B$8="Checking",OR(F35="Savings",G35="Savings"))),"CHECK AGREEMENT / REFUND / SCOPE","READY"),"READY"))))))),"CHECK INVALID INPUT")</f>
        <v>UNUSED</v>
      </c>
      <c r="S35" t="str">
        <f t="shared" si="27"/>
        <v>UNUSED</v>
      </c>
      <c r="T35">
        <f t="shared" si="0"/>
        <v>0</v>
      </c>
      <c r="U35">
        <f t="shared" si="1"/>
        <v>0</v>
      </c>
      <c r="V35">
        <f>IFERROR(MATCH(H35,Agreements!$A$5:$A$16,0),0)</f>
        <v>0</v>
      </c>
      <c r="W35" s="6">
        <f>IF(D35="Refund",IFERROR(INDEX(Agreements!$AA$5:$AA$16,MATCH(IFERROR(INDEX($H$5:$H$64,MATCH(I35,$A$5:$A$64,0)),""),Agreements!$A$5:$A$16,0)),0),IFERROR(INDEX(Agreements!$AA$5:$AA$16,MATCH(H35,Agreements!$A$5:$A$16,0)),0))</f>
        <v>0</v>
      </c>
      <c r="X35" s="3">
        <f t="shared" si="2"/>
        <v>0</v>
      </c>
      <c r="Y35" s="3">
        <f t="shared" si="3"/>
        <v>0</v>
      </c>
      <c r="Z35" s="3">
        <f t="shared" si="4"/>
        <v>0</v>
      </c>
      <c r="AA35" s="3">
        <f t="shared" si="5"/>
        <v>0</v>
      </c>
      <c r="AB35" s="3">
        <f t="shared" si="6"/>
        <v>0</v>
      </c>
      <c r="AC35" s="3">
        <f t="shared" si="7"/>
        <v>0</v>
      </c>
      <c r="AD35" s="3">
        <f t="shared" si="8"/>
        <v>0</v>
      </c>
      <c r="AE35" s="3">
        <f t="shared" si="9"/>
        <v>0</v>
      </c>
      <c r="AF35" s="3">
        <f t="shared" si="10"/>
        <v>0</v>
      </c>
      <c r="AG35" s="3">
        <f t="shared" si="11"/>
        <v>0</v>
      </c>
      <c r="AH35" s="3">
        <f t="shared" si="12"/>
        <v>0</v>
      </c>
      <c r="AI35" s="3">
        <f>N(Setup!$B$12)+SUM(AC$5:AC35)</f>
        <v>0</v>
      </c>
      <c r="AJ35" s="3">
        <f>N(Setup!$B$18)+SUM(AD$5:AD35)</f>
        <v>0</v>
      </c>
      <c r="AK35" s="3">
        <f>N(Setup!$B$13)+SUM(AE$5:AE35)</f>
        <v>0</v>
      </c>
      <c r="AL35" s="3">
        <f>N(Setup!$B$14)+SUM(AF$5:AF35)</f>
        <v>0</v>
      </c>
      <c r="AM35" s="3">
        <f>N(Setup!$B$19)+SUM(AG$5:AG35)</f>
        <v>0</v>
      </c>
      <c r="AN35" s="3">
        <f>N(Setup!$B$20)+SUM(AH$5:AH35)</f>
        <v>0</v>
      </c>
      <c r="AO35" s="3">
        <f t="shared" si="13"/>
        <v>0</v>
      </c>
      <c r="AP35" s="3">
        <f t="shared" si="14"/>
        <v>0</v>
      </c>
      <c r="AQ35" s="3">
        <f t="shared" si="15"/>
        <v>0</v>
      </c>
      <c r="AR35" s="3">
        <f t="shared" si="16"/>
        <v>0</v>
      </c>
      <c r="AS35" s="3">
        <f t="shared" si="17"/>
        <v>0</v>
      </c>
      <c r="AT35" s="3">
        <f t="shared" si="18"/>
        <v>0</v>
      </c>
      <c r="AU35" s="3">
        <f t="shared" si="19"/>
        <v>0</v>
      </c>
      <c r="AV35" s="3">
        <f t="shared" si="20"/>
        <v>0</v>
      </c>
      <c r="AW35" s="3">
        <f t="shared" si="21"/>
        <v>0</v>
      </c>
      <c r="AX35" s="3">
        <f t="shared" si="22"/>
        <v>0</v>
      </c>
      <c r="AY35" s="3">
        <f t="shared" si="23"/>
        <v>0</v>
      </c>
      <c r="AZ35" t="b">
        <f t="shared" si="24"/>
        <v>0</v>
      </c>
      <c r="BA35" t="b">
        <f>OR(AND(F35="Checking",Setup!$B$8&lt;&gt;"None"),AND(F35="Savings",Setup!$B$8="Combined"))</f>
        <v>0</v>
      </c>
      <c r="BB35" t="b">
        <f>OR(AND(G35="Checking",Setup!$B$8&lt;&gt;"None"),AND(G35="Savings",Setup!$B$8="Combined"))</f>
        <v>0</v>
      </c>
      <c r="BC35" t="b">
        <f t="shared" si="25"/>
        <v>0</v>
      </c>
      <c r="BD35" s="3">
        <f t="shared" si="26"/>
        <v>0</v>
      </c>
    </row>
    <row r="36" spans="1:56" ht="63.95" customHeight="1" x14ac:dyDescent="0.25">
      <c r="A36" s="4"/>
      <c r="B36" s="7"/>
      <c r="C36" s="4"/>
      <c r="D36" s="4"/>
      <c r="E36" s="2"/>
      <c r="F36" s="4"/>
      <c r="G36" s="4"/>
      <c r="H36" s="4"/>
      <c r="I36" s="4"/>
      <c r="J36" s="4"/>
      <c r="K36" s="2"/>
      <c r="L36" s="2"/>
      <c r="M36" s="4"/>
      <c r="N36" s="4"/>
      <c r="O36" s="4"/>
      <c r="P36" s="4"/>
      <c r="Q36" t="str">
        <f>IFERROR(IF(AND(T36=1,SUMPRODUCT(--($B$5:B35&gt;B36),$T$5:T35)&gt;0),"CHECK CASH DATE ORDER",IF(COUNTA(A36:P36)=0,"UNUSED",IF(OR(A36="",NOT(ISNUMBER(B36)),NOT(ISNUMBER(E36)),E36&lt;0,COUNTIF($A$5:$A$64,A36)&lt;&gt;1,AND(C36&lt;&gt;"Confirmed",C36&lt;&gt;"Disputed",C36&lt;&gt;"Expected",C36&lt;&gt;"Historical"),AND(N36&lt;&gt;"Cash + allocation",N36&lt;&gt;"Cash only",N36&lt;&gt;"Allocation only"),LEN(TRIM(P36))=0),"CHECK ID / AMOUNT / STATUS",IF(C36="Expected","EXPECTED — EXCLUDED",IF(C36="Historical",IF(B36&lt;Setup!$B$6,"HISTORICAL — NO CASH","CHECK HISTORICAL DATE"),IF(OR(B36&lt;Setup!$B$6,B36&gt;Setup!$B$7,AND(D36="Expense",OR(AND(F36&lt;&gt;"A",F36&lt;&gt;"B",F36&lt;&gt;"Checking",F36&lt;&gt;"Savings"),G36&lt;&gt;"Merchant")),AND(D36="Refund",OR(F36&lt;&gt;"Merchant",AND(G36&lt;&gt;"A",G36&lt;&gt;"B",G36&lt;&gt;"Checking",G36&lt;&gt;"Savings"))),AND(D36="Contribution",OR(AND(F36&lt;&gt;"A",F36&lt;&gt;"B"),NOT(OR(G36="Checking",G36="Savings")))),AND(D36="ReturnContribution",OR(NOT(OR(F36="Checking",F36="Savings")),AND(G36&lt;&gt;"A",G36&lt;&gt;"B"))),AND(OR(D36="Settlement",D36="PersonalSupport"),OR(AND(M36&lt;&gt;"A",M36&lt;&gt;"B"),IF(M36="A",G36&lt;&gt;"B",G36&lt;&gt;"A"),AND(NOT(OR(F36="Checking",F36="Savings")),F36&lt;&gt;M36))),AND(OR(D36="InternalTransfer",D36="BoundaryTransfer"),OR(NOT(OR(F36="Checking",F36="Savings")),NOT(OR(G36="Checking",G36="Savings")),F36=G36)),AND(D36&lt;&gt;"Expense",D36&lt;&gt;"Refund",D36&lt;&gt;"Contribution",D36&lt;&gt;"ReturnContribution",D36&lt;&gt;"Settlement",D36&lt;&gt;"PersonalSupport",D36&lt;&gt;"InternalTransfer",D36&lt;&gt;"BoundaryTransfer"),AND(Setup!$B$8="None",OR(OR(F36="Checking",F36="Savings"),OR(G36="Checking",G36="Savings"))),AND(Setup!$B$8="Checking",Setup!$B$23&lt;&gt;"Active",OR(F36="Savings",G36="Savings")),AND(T36=1,MIN(AI36:AJ36)&lt; -0.005),AND(N36="Cash only",D36&lt;&gt;"Expense"),AND(N36="Allocation only",D36&lt;&gt;"Expense")),"CHECK CASH / SCOPE","READY")))))),"CHECK INVALID INPUT")</f>
        <v>UNUSED</v>
      </c>
      <c r="R36" t="str">
        <f>IFERROR(IF(AND(C36="Historical",D36="Expense",OR(IFERROR(INDEX(Agreements!$Z$5:$Z$16,MATCH(H36,Agreements!$A$5:$A$16,0)),"MISSING")&lt;&gt;"READY",B36&lt;IFERROR(INDEX(Agreements!$C$5:$C$16,MATCH(H36,Agreements!$A$5:$A$16,0)),0),B36&gt;IFERROR(INDEX(Agreements!$D$5:$D$16,MATCH(H36,Agreements!$A$5:$A$16,0)),0))),"CHECK HISTORICAL AGREEMENT",IF(AND(C36="Confirmed",D36="Refund",AND(IFERROR(INDEX($C$5:$C$64,MATCH(I36,$A$5:$A$64,0)),"")&lt;&gt;"Confirmed",IFERROR(INDEX($C$5:$C$64,MATCH(I36,$A$5:$A$64,0)),"")&lt;&gt;"Historical")),"CHECK REFUND SOURCE STATUS",IF(COUNTA(A36:P36)=0,"UNUSED",IF(OR(C36="Expected",C36="Historical"),"NOT CURRENT",IF(C36="Disputed","DISPUTED — CLOSE PENDING",IF(N36="Cash only",IF(ABS(BD36-E36)&lt;0.005,"READY","CHECK ALLOCATION TOTAL"),IF(OR(D36="Expense",D36="Refund"),IF(OR(IFERROR(INDEX(Agreements!$Z$5:$Z$16,MATCH(H36,Agreements!$A$5:$A$16,0)),0)&lt;&gt;"READY",AND(D36="Expense",OR(B36&lt;IFERROR(INDEX(Agreements!$C$5:$C$16,MATCH(H36,Agreements!$A$5:$A$16,0)),0),B36&gt;IFERROR(INDEX(Agreements!$D$5:$D$16,MATCH(H36,Agreements!$A$5:$A$16,0)),0))),AND(D36="Refund",OR(IFERROR(INDEX($D$5:$D$64,MATCH(I36,$A$5:$A$64,0)),"")&lt;&gt;"Expense",IFERROR(INDEX($H$5:$H$64,MATCH(I36,$A$5:$A$64,0)),"")&lt;&gt;H36,SUMIFS($E$5:$E$64,$I$5:$I$64,I36,$D$5:$D$64,"Refund",$C$5:$C$64,"&lt;&gt;Expected")&gt;N(IFERROR(INDEX($E$5:$E$64,MATCH(I36,$A$5:$A$64,0)),""))+0.005,I36="")),AND(N36="Allocation only",OR(O36="",IFERROR(INDEX($F$5:$F$64,MATCH(O36,$A$5:$A$64,0)),"")&lt;&gt;F36,IFERROR(INDEX($N$5:$N$64,MATCH(O36,$A$5:$A$64,0)),"")&lt;&gt;"Cash only")),AND(Setup!$B$8="Checking",OR(F36="Savings",G36="Savings"))),"CHECK AGREEMENT / REFUND / SCOPE","READY"),"READY"))))))),"CHECK INVALID INPUT")</f>
        <v>UNUSED</v>
      </c>
      <c r="S36" t="str">
        <f t="shared" si="27"/>
        <v>UNUSED</v>
      </c>
      <c r="T36">
        <f t="shared" si="0"/>
        <v>0</v>
      </c>
      <c r="U36">
        <f t="shared" si="1"/>
        <v>0</v>
      </c>
      <c r="V36">
        <f>IFERROR(MATCH(H36,Agreements!$A$5:$A$16,0),0)</f>
        <v>0</v>
      </c>
      <c r="W36" s="6">
        <f>IF(D36="Refund",IFERROR(INDEX(Agreements!$AA$5:$AA$16,MATCH(IFERROR(INDEX($H$5:$H$64,MATCH(I36,$A$5:$A$64,0)),""),Agreements!$A$5:$A$16,0)),0),IFERROR(INDEX(Agreements!$AA$5:$AA$16,MATCH(H36,Agreements!$A$5:$A$16,0)),0))</f>
        <v>0</v>
      </c>
      <c r="X36" s="3">
        <f t="shared" si="2"/>
        <v>0</v>
      </c>
      <c r="Y36" s="3">
        <f t="shared" si="3"/>
        <v>0</v>
      </c>
      <c r="Z36" s="3">
        <f t="shared" si="4"/>
        <v>0</v>
      </c>
      <c r="AA36" s="3">
        <f t="shared" si="5"/>
        <v>0</v>
      </c>
      <c r="AB36" s="3">
        <f t="shared" si="6"/>
        <v>0</v>
      </c>
      <c r="AC36" s="3">
        <f t="shared" si="7"/>
        <v>0</v>
      </c>
      <c r="AD36" s="3">
        <f t="shared" si="8"/>
        <v>0</v>
      </c>
      <c r="AE36" s="3">
        <f t="shared" si="9"/>
        <v>0</v>
      </c>
      <c r="AF36" s="3">
        <f t="shared" si="10"/>
        <v>0</v>
      </c>
      <c r="AG36" s="3">
        <f t="shared" si="11"/>
        <v>0</v>
      </c>
      <c r="AH36" s="3">
        <f t="shared" si="12"/>
        <v>0</v>
      </c>
      <c r="AI36" s="3">
        <f>N(Setup!$B$12)+SUM(AC$5:AC36)</f>
        <v>0</v>
      </c>
      <c r="AJ36" s="3">
        <f>N(Setup!$B$18)+SUM(AD$5:AD36)</f>
        <v>0</v>
      </c>
      <c r="AK36" s="3">
        <f>N(Setup!$B$13)+SUM(AE$5:AE36)</f>
        <v>0</v>
      </c>
      <c r="AL36" s="3">
        <f>N(Setup!$B$14)+SUM(AF$5:AF36)</f>
        <v>0</v>
      </c>
      <c r="AM36" s="3">
        <f>N(Setup!$B$19)+SUM(AG$5:AG36)</f>
        <v>0</v>
      </c>
      <c r="AN36" s="3">
        <f>N(Setup!$B$20)+SUM(AH$5:AH36)</f>
        <v>0</v>
      </c>
      <c r="AO36" s="3">
        <f t="shared" si="13"/>
        <v>0</v>
      </c>
      <c r="AP36" s="3">
        <f t="shared" si="14"/>
        <v>0</v>
      </c>
      <c r="AQ36" s="3">
        <f t="shared" si="15"/>
        <v>0</v>
      </c>
      <c r="AR36" s="3">
        <f t="shared" si="16"/>
        <v>0</v>
      </c>
      <c r="AS36" s="3">
        <f t="shared" si="17"/>
        <v>0</v>
      </c>
      <c r="AT36" s="3">
        <f t="shared" si="18"/>
        <v>0</v>
      </c>
      <c r="AU36" s="3">
        <f t="shared" si="19"/>
        <v>0</v>
      </c>
      <c r="AV36" s="3">
        <f t="shared" si="20"/>
        <v>0</v>
      </c>
      <c r="AW36" s="3">
        <f t="shared" si="21"/>
        <v>0</v>
      </c>
      <c r="AX36" s="3">
        <f t="shared" si="22"/>
        <v>0</v>
      </c>
      <c r="AY36" s="3">
        <f t="shared" si="23"/>
        <v>0</v>
      </c>
      <c r="AZ36" t="b">
        <f t="shared" si="24"/>
        <v>0</v>
      </c>
      <c r="BA36" t="b">
        <f>OR(AND(F36="Checking",Setup!$B$8&lt;&gt;"None"),AND(F36="Savings",Setup!$B$8="Combined"))</f>
        <v>0</v>
      </c>
      <c r="BB36" t="b">
        <f>OR(AND(G36="Checking",Setup!$B$8&lt;&gt;"None"),AND(G36="Savings",Setup!$B$8="Combined"))</f>
        <v>0</v>
      </c>
      <c r="BC36" t="b">
        <f t="shared" si="25"/>
        <v>0</v>
      </c>
      <c r="BD36" s="3">
        <f t="shared" si="26"/>
        <v>0</v>
      </c>
    </row>
    <row r="37" spans="1:56" ht="63.95" customHeight="1" x14ac:dyDescent="0.25">
      <c r="A37" s="4"/>
      <c r="B37" s="7"/>
      <c r="C37" s="4"/>
      <c r="D37" s="4"/>
      <c r="E37" s="2"/>
      <c r="F37" s="4"/>
      <c r="G37" s="4"/>
      <c r="H37" s="4"/>
      <c r="I37" s="4"/>
      <c r="J37" s="4"/>
      <c r="K37" s="2"/>
      <c r="L37" s="2"/>
      <c r="M37" s="4"/>
      <c r="N37" s="4"/>
      <c r="O37" s="4"/>
      <c r="P37" s="4"/>
      <c r="Q37" t="str">
        <f>IFERROR(IF(AND(T37=1,SUMPRODUCT(--($B$5:B36&gt;B37),$T$5:T36)&gt;0),"CHECK CASH DATE ORDER",IF(COUNTA(A37:P37)=0,"UNUSED",IF(OR(A37="",NOT(ISNUMBER(B37)),NOT(ISNUMBER(E37)),E37&lt;0,COUNTIF($A$5:$A$64,A37)&lt;&gt;1,AND(C37&lt;&gt;"Confirmed",C37&lt;&gt;"Disputed",C37&lt;&gt;"Expected",C37&lt;&gt;"Historical"),AND(N37&lt;&gt;"Cash + allocation",N37&lt;&gt;"Cash only",N37&lt;&gt;"Allocation only"),LEN(TRIM(P37))=0),"CHECK ID / AMOUNT / STATUS",IF(C37="Expected","EXPECTED — EXCLUDED",IF(C37="Historical",IF(B37&lt;Setup!$B$6,"HISTORICAL — NO CASH","CHECK HISTORICAL DATE"),IF(OR(B37&lt;Setup!$B$6,B37&gt;Setup!$B$7,AND(D37="Expense",OR(AND(F37&lt;&gt;"A",F37&lt;&gt;"B",F37&lt;&gt;"Checking",F37&lt;&gt;"Savings"),G37&lt;&gt;"Merchant")),AND(D37="Refund",OR(F37&lt;&gt;"Merchant",AND(G37&lt;&gt;"A",G37&lt;&gt;"B",G37&lt;&gt;"Checking",G37&lt;&gt;"Savings"))),AND(D37="Contribution",OR(AND(F37&lt;&gt;"A",F37&lt;&gt;"B"),NOT(OR(G37="Checking",G37="Savings")))),AND(D37="ReturnContribution",OR(NOT(OR(F37="Checking",F37="Savings")),AND(G37&lt;&gt;"A",G37&lt;&gt;"B"))),AND(OR(D37="Settlement",D37="PersonalSupport"),OR(AND(M37&lt;&gt;"A",M37&lt;&gt;"B"),IF(M37="A",G37&lt;&gt;"B",G37&lt;&gt;"A"),AND(NOT(OR(F37="Checking",F37="Savings")),F37&lt;&gt;M37))),AND(OR(D37="InternalTransfer",D37="BoundaryTransfer"),OR(NOT(OR(F37="Checking",F37="Savings")),NOT(OR(G37="Checking",G37="Savings")),F37=G37)),AND(D37&lt;&gt;"Expense",D37&lt;&gt;"Refund",D37&lt;&gt;"Contribution",D37&lt;&gt;"ReturnContribution",D37&lt;&gt;"Settlement",D37&lt;&gt;"PersonalSupport",D37&lt;&gt;"InternalTransfer",D37&lt;&gt;"BoundaryTransfer"),AND(Setup!$B$8="None",OR(OR(F37="Checking",F37="Savings"),OR(G37="Checking",G37="Savings"))),AND(Setup!$B$8="Checking",Setup!$B$23&lt;&gt;"Active",OR(F37="Savings",G37="Savings")),AND(T37=1,MIN(AI37:AJ37)&lt; -0.005),AND(N37="Cash only",D37&lt;&gt;"Expense"),AND(N37="Allocation only",D37&lt;&gt;"Expense")),"CHECK CASH / SCOPE","READY")))))),"CHECK INVALID INPUT")</f>
        <v>UNUSED</v>
      </c>
      <c r="R37" t="str">
        <f>IFERROR(IF(AND(C37="Historical",D37="Expense",OR(IFERROR(INDEX(Agreements!$Z$5:$Z$16,MATCH(H37,Agreements!$A$5:$A$16,0)),"MISSING")&lt;&gt;"READY",B37&lt;IFERROR(INDEX(Agreements!$C$5:$C$16,MATCH(H37,Agreements!$A$5:$A$16,0)),0),B37&gt;IFERROR(INDEX(Agreements!$D$5:$D$16,MATCH(H37,Agreements!$A$5:$A$16,0)),0))),"CHECK HISTORICAL AGREEMENT",IF(AND(C37="Confirmed",D37="Refund",AND(IFERROR(INDEX($C$5:$C$64,MATCH(I37,$A$5:$A$64,0)),"")&lt;&gt;"Confirmed",IFERROR(INDEX($C$5:$C$64,MATCH(I37,$A$5:$A$64,0)),"")&lt;&gt;"Historical")),"CHECK REFUND SOURCE STATUS",IF(COUNTA(A37:P37)=0,"UNUSED",IF(OR(C37="Expected",C37="Historical"),"NOT CURRENT",IF(C37="Disputed","DISPUTED — CLOSE PENDING",IF(N37="Cash only",IF(ABS(BD37-E37)&lt;0.005,"READY","CHECK ALLOCATION TOTAL"),IF(OR(D37="Expense",D37="Refund"),IF(OR(IFERROR(INDEX(Agreements!$Z$5:$Z$16,MATCH(H37,Agreements!$A$5:$A$16,0)),0)&lt;&gt;"READY",AND(D37="Expense",OR(B37&lt;IFERROR(INDEX(Agreements!$C$5:$C$16,MATCH(H37,Agreements!$A$5:$A$16,0)),0),B37&gt;IFERROR(INDEX(Agreements!$D$5:$D$16,MATCH(H37,Agreements!$A$5:$A$16,0)),0))),AND(D37="Refund",OR(IFERROR(INDEX($D$5:$D$64,MATCH(I37,$A$5:$A$64,0)),"")&lt;&gt;"Expense",IFERROR(INDEX($H$5:$H$64,MATCH(I37,$A$5:$A$64,0)),"")&lt;&gt;H37,SUMIFS($E$5:$E$64,$I$5:$I$64,I37,$D$5:$D$64,"Refund",$C$5:$C$64,"&lt;&gt;Expected")&gt;N(IFERROR(INDEX($E$5:$E$64,MATCH(I37,$A$5:$A$64,0)),""))+0.005,I37="")),AND(N37="Allocation only",OR(O37="",IFERROR(INDEX($F$5:$F$64,MATCH(O37,$A$5:$A$64,0)),"")&lt;&gt;F37,IFERROR(INDEX($N$5:$N$64,MATCH(O37,$A$5:$A$64,0)),"")&lt;&gt;"Cash only")),AND(Setup!$B$8="Checking",OR(F37="Savings",G37="Savings"))),"CHECK AGREEMENT / REFUND / SCOPE","READY"),"READY"))))))),"CHECK INVALID INPUT")</f>
        <v>UNUSED</v>
      </c>
      <c r="S37" t="str">
        <f t="shared" si="27"/>
        <v>UNUSED</v>
      </c>
      <c r="T37">
        <f t="shared" ref="T37:T64" si="28">IF(AND(BC37,N37&lt;&gt;"Allocation only",OR(C37="Confirmed",C37="Disputed")),1,0)</f>
        <v>0</v>
      </c>
      <c r="U37">
        <f t="shared" ref="U37:U64" si="29">IF(AND(A37&lt;&gt;"",C37="Confirmed",N37&lt;&gt;"Cash only",OR(D37="Expense",D37="Refund")),1,0)</f>
        <v>0</v>
      </c>
      <c r="V37">
        <f>IFERROR(MATCH(H37,Agreements!$A$5:$A$16,0),0)</f>
        <v>0</v>
      </c>
      <c r="W37" s="6">
        <f>IF(D37="Refund",IFERROR(INDEX(Agreements!$AA$5:$AA$16,MATCH(IFERROR(INDEX($H$5:$H$64,MATCH(I37,$A$5:$A$64,0)),""),Agreements!$A$5:$A$16,0)),0),IFERROR(INDEX(Agreements!$AA$5:$AA$16,MATCH(H37,Agreements!$A$5:$A$16,0)),0))</f>
        <v>0</v>
      </c>
      <c r="X37" s="3">
        <f t="shared" ref="X37:X64" si="30">IF(U37=1,IF(D37="Refund",-N(E37),N(E37)),0)</f>
        <v>0</v>
      </c>
      <c r="Y37" s="3">
        <f t="shared" ref="Y37:Y68" si="31">ROUND(X37*W37,2)</f>
        <v>0</v>
      </c>
      <c r="Z37" s="3">
        <f t="shared" ref="Z37:Z68" si="32">X37-Y37</f>
        <v>0</v>
      </c>
      <c r="AA37" s="3">
        <f t="shared" ref="AA37:AA64" si="33">IF(T37=1,IF(AND(D37="Expense",F37="A"),N(E37),IF(AND(D37="Refund",G37="A"),-N(E37),0)),0)</f>
        <v>0</v>
      </c>
      <c r="AB37" s="3">
        <f t="shared" ref="AB37:AB64" si="34">IF(T37=1,IF(AND(D37="Expense",F37="B"),N(E37),IF(AND(D37="Refund",G37="B"),-N(E37),0)),0)</f>
        <v>0</v>
      </c>
      <c r="AC37" s="3">
        <f t="shared" ref="AC37:AC64" si="35">IF(T37=1,N(E37)*(IF(G37="Checking",1,0)-IF(F37="Checking",1,0)),0)</f>
        <v>0</v>
      </c>
      <c r="AD37" s="3">
        <f t="shared" ref="AD37:AD64" si="36">IF(T37=1,N(E37)*(IF(G37="Savings",1,0)-IF(F37="Savings",1,0)),0)</f>
        <v>0</v>
      </c>
      <c r="AE37" s="3">
        <f t="shared" ref="AE37:AE64" si="37">IF(T37=1,(IF(D37="Contribution",IF(F37="A",N(E37),0),N(K37)))*(IF(G37="Checking",1,0)-IF(F37="Checking",1,0)),0)</f>
        <v>0</v>
      </c>
      <c r="AF37" s="3">
        <f t="shared" ref="AF37:AF64" si="38">IF(T37=1,(IF(D37="Contribution",IF(F37="B",N(E37),0),N(L37)))*(IF(G37="Checking",1,0)-IF(F37="Checking",1,0)),0)</f>
        <v>0</v>
      </c>
      <c r="AG37" s="3">
        <f t="shared" ref="AG37:AG64" si="39">IF(T37=1,(IF(D37="Contribution",IF(F37="A",N(E37),0),N(K37)))*(IF(G37="Savings",1,0)-IF(F37="Savings",1,0)),0)</f>
        <v>0</v>
      </c>
      <c r="AH37" s="3">
        <f t="shared" ref="AH37:AH64" si="40">IF(T37=1,(IF(D37="Contribution",IF(F37="B",N(E37),0),N(L37)))*(IF(G37="Savings",1,0)-IF(F37="Savings",1,0)),0)</f>
        <v>0</v>
      </c>
      <c r="AI37" s="3">
        <f>N(Setup!$B$12)+SUM(AC$5:AC37)</f>
        <v>0</v>
      </c>
      <c r="AJ37" s="3">
        <f>N(Setup!$B$18)+SUM(AD$5:AD37)</f>
        <v>0</v>
      </c>
      <c r="AK37" s="3">
        <f>N(Setup!$B$13)+SUM(AE$5:AE37)</f>
        <v>0</v>
      </c>
      <c r="AL37" s="3">
        <f>N(Setup!$B$14)+SUM(AF$5:AF37)</f>
        <v>0</v>
      </c>
      <c r="AM37" s="3">
        <f>N(Setup!$B$19)+SUM(AG$5:AG37)</f>
        <v>0</v>
      </c>
      <c r="AN37" s="3">
        <f>N(Setup!$B$20)+SUM(AH$5:AH37)</f>
        <v>0</v>
      </c>
      <c r="AO37" s="3">
        <f t="shared" ref="AO37:AO64" si="41">IF(AND(T37=1,D37="Settlement"),IF(M37="A",N(E37),-N(E37)),0)</f>
        <v>0</v>
      </c>
      <c r="AP37" s="3">
        <f t="shared" ref="AP37:AP64" si="42">IF(AND(T37=1,D37="PersonalSupport",M37="A"),N(E37),0)</f>
        <v>0</v>
      </c>
      <c r="AQ37" s="3">
        <f t="shared" ref="AQ37:AQ64" si="43">IF(AND(T37=1,D37="PersonalSupport",M37="B"),N(E37),0)</f>
        <v>0</v>
      </c>
      <c r="AR37" s="3">
        <f t="shared" ref="AR37:AR64" si="44">IF(AND(T37=1,D37="Contribution",BB37,F37="A"),N(E37),0)</f>
        <v>0</v>
      </c>
      <c r="AS37" s="3">
        <f t="shared" ref="AS37:AS64" si="45">IF(AND(T37=1,D37="Contribution",BB37,F37="B"),N(E37),0)</f>
        <v>0</v>
      </c>
      <c r="AT37" s="3">
        <f t="shared" ref="AT37:AT64" si="46">IF(AND(T37=1,BB37,NOT(BA37),F37="Savings",OR(D37="BoundaryTransfer",D37="InternalTransfer")),N(K37),0)</f>
        <v>0</v>
      </c>
      <c r="AU37" s="3">
        <f t="shared" ref="AU37:AU64" si="47">IF(AND(T37=1,BB37,NOT(BA37),F37="Savings",OR(D37="BoundaryTransfer",D37="InternalTransfer")),N(L37),0)</f>
        <v>0</v>
      </c>
      <c r="AV37" s="3">
        <f t="shared" ref="AV37:AV64" si="48">IF(AND(T37=1,BA37,NOT(BB37),D37&lt;&gt;"Expense",D37&lt;&gt;"ReturnContribution"),N(K37),0)</f>
        <v>0</v>
      </c>
      <c r="AW37" s="3">
        <f t="shared" ref="AW37:AW64" si="49">IF(AND(T37=1,BA37,NOT(BB37),D37&lt;&gt;"Expense",D37&lt;&gt;"ReturnContribution"),N(L37),0)</f>
        <v>0</v>
      </c>
      <c r="AX37" s="3">
        <f t="shared" ref="AX37:AX64" si="50">IF(AND(T37=1,BA37,D37="ReturnContribution"),N(K37),0)</f>
        <v>0</v>
      </c>
      <c r="AY37" s="3">
        <f t="shared" ref="AY37:AY64" si="51">IF(AND(T37=1,BA37,D37="ReturnContribution"),N(L37),0)</f>
        <v>0</v>
      </c>
      <c r="AZ37" t="b">
        <f t="shared" ref="AZ37:AZ64" si="52">AND(T37=1,OR(AND(D37="Expense",OR(F37="Checking",F37="Savings")),AND(D37="Refund",OR(G37="Checking",G37="Savings"))))</f>
        <v>0</v>
      </c>
      <c r="BA37" t="b">
        <f>OR(AND(F37="Checking",Setup!$B$8&lt;&gt;"None"),AND(F37="Savings",Setup!$B$8="Combined"))</f>
        <v>0</v>
      </c>
      <c r="BB37" t="b">
        <f>OR(AND(G37="Checking",Setup!$B$8&lt;&gt;"None"),AND(G37="Savings",Setup!$B$8="Combined"))</f>
        <v>0</v>
      </c>
      <c r="BC37" t="b">
        <f t="shared" ref="BC37:BC64" si="53">AND(A37&lt;&gt;"",C37&lt;&gt;"Historical",C37&lt;&gt;"Expected")</f>
        <v>0</v>
      </c>
      <c r="BD37" s="3">
        <f t="shared" ref="BD37:BD64" si="54">SUMIFS($E$5:$E$64,$O$5:$O$64,A37,$N$5:$N$64,"Allocation only",$C$5:$C$64,"Confirmed")</f>
        <v>0</v>
      </c>
    </row>
    <row r="38" spans="1:56" ht="63.95" customHeight="1" x14ac:dyDescent="0.25">
      <c r="A38" s="4"/>
      <c r="B38" s="7"/>
      <c r="C38" s="4"/>
      <c r="D38" s="4"/>
      <c r="E38" s="2"/>
      <c r="F38" s="4"/>
      <c r="G38" s="4"/>
      <c r="H38" s="4"/>
      <c r="I38" s="4"/>
      <c r="J38" s="4"/>
      <c r="K38" s="2"/>
      <c r="L38" s="2"/>
      <c r="M38" s="4"/>
      <c r="N38" s="4"/>
      <c r="O38" s="4"/>
      <c r="P38" s="4"/>
      <c r="Q38" t="str">
        <f>IFERROR(IF(AND(T38=1,SUMPRODUCT(--($B$5:B37&gt;B38),$T$5:T37)&gt;0),"CHECK CASH DATE ORDER",IF(COUNTA(A38:P38)=0,"UNUSED",IF(OR(A38="",NOT(ISNUMBER(B38)),NOT(ISNUMBER(E38)),E38&lt;0,COUNTIF($A$5:$A$64,A38)&lt;&gt;1,AND(C38&lt;&gt;"Confirmed",C38&lt;&gt;"Disputed",C38&lt;&gt;"Expected",C38&lt;&gt;"Historical"),AND(N38&lt;&gt;"Cash + allocation",N38&lt;&gt;"Cash only",N38&lt;&gt;"Allocation only"),LEN(TRIM(P38))=0),"CHECK ID / AMOUNT / STATUS",IF(C38="Expected","EXPECTED — EXCLUDED",IF(C38="Historical",IF(B38&lt;Setup!$B$6,"HISTORICAL — NO CASH","CHECK HISTORICAL DATE"),IF(OR(B38&lt;Setup!$B$6,B38&gt;Setup!$B$7,AND(D38="Expense",OR(AND(F38&lt;&gt;"A",F38&lt;&gt;"B",F38&lt;&gt;"Checking",F38&lt;&gt;"Savings"),G38&lt;&gt;"Merchant")),AND(D38="Refund",OR(F38&lt;&gt;"Merchant",AND(G38&lt;&gt;"A",G38&lt;&gt;"B",G38&lt;&gt;"Checking",G38&lt;&gt;"Savings"))),AND(D38="Contribution",OR(AND(F38&lt;&gt;"A",F38&lt;&gt;"B"),NOT(OR(G38="Checking",G38="Savings")))),AND(D38="ReturnContribution",OR(NOT(OR(F38="Checking",F38="Savings")),AND(G38&lt;&gt;"A",G38&lt;&gt;"B"))),AND(OR(D38="Settlement",D38="PersonalSupport"),OR(AND(M38&lt;&gt;"A",M38&lt;&gt;"B"),IF(M38="A",G38&lt;&gt;"B",G38&lt;&gt;"A"),AND(NOT(OR(F38="Checking",F38="Savings")),F38&lt;&gt;M38))),AND(OR(D38="InternalTransfer",D38="BoundaryTransfer"),OR(NOT(OR(F38="Checking",F38="Savings")),NOT(OR(G38="Checking",G38="Savings")),F38=G38)),AND(D38&lt;&gt;"Expense",D38&lt;&gt;"Refund",D38&lt;&gt;"Contribution",D38&lt;&gt;"ReturnContribution",D38&lt;&gt;"Settlement",D38&lt;&gt;"PersonalSupport",D38&lt;&gt;"InternalTransfer",D38&lt;&gt;"BoundaryTransfer"),AND(Setup!$B$8="None",OR(OR(F38="Checking",F38="Savings"),OR(G38="Checking",G38="Savings"))),AND(Setup!$B$8="Checking",Setup!$B$23&lt;&gt;"Active",OR(F38="Savings",G38="Savings")),AND(T38=1,MIN(AI38:AJ38)&lt; -0.005),AND(N38="Cash only",D38&lt;&gt;"Expense"),AND(N38="Allocation only",D38&lt;&gt;"Expense")),"CHECK CASH / SCOPE","READY")))))),"CHECK INVALID INPUT")</f>
        <v>UNUSED</v>
      </c>
      <c r="R38" t="str">
        <f>IFERROR(IF(AND(C38="Historical",D38="Expense",OR(IFERROR(INDEX(Agreements!$Z$5:$Z$16,MATCH(H38,Agreements!$A$5:$A$16,0)),"MISSING")&lt;&gt;"READY",B38&lt;IFERROR(INDEX(Agreements!$C$5:$C$16,MATCH(H38,Agreements!$A$5:$A$16,0)),0),B38&gt;IFERROR(INDEX(Agreements!$D$5:$D$16,MATCH(H38,Agreements!$A$5:$A$16,0)),0))),"CHECK HISTORICAL AGREEMENT",IF(AND(C38="Confirmed",D38="Refund",AND(IFERROR(INDEX($C$5:$C$64,MATCH(I38,$A$5:$A$64,0)),"")&lt;&gt;"Confirmed",IFERROR(INDEX($C$5:$C$64,MATCH(I38,$A$5:$A$64,0)),"")&lt;&gt;"Historical")),"CHECK REFUND SOURCE STATUS",IF(COUNTA(A38:P38)=0,"UNUSED",IF(OR(C38="Expected",C38="Historical"),"NOT CURRENT",IF(C38="Disputed","DISPUTED — CLOSE PENDING",IF(N38="Cash only",IF(ABS(BD38-E38)&lt;0.005,"READY","CHECK ALLOCATION TOTAL"),IF(OR(D38="Expense",D38="Refund"),IF(OR(IFERROR(INDEX(Agreements!$Z$5:$Z$16,MATCH(H38,Agreements!$A$5:$A$16,0)),0)&lt;&gt;"READY",AND(D38="Expense",OR(B38&lt;IFERROR(INDEX(Agreements!$C$5:$C$16,MATCH(H38,Agreements!$A$5:$A$16,0)),0),B38&gt;IFERROR(INDEX(Agreements!$D$5:$D$16,MATCH(H38,Agreements!$A$5:$A$16,0)),0))),AND(D38="Refund",OR(IFERROR(INDEX($D$5:$D$64,MATCH(I38,$A$5:$A$64,0)),"")&lt;&gt;"Expense",IFERROR(INDEX($H$5:$H$64,MATCH(I38,$A$5:$A$64,0)),"")&lt;&gt;H38,SUMIFS($E$5:$E$64,$I$5:$I$64,I38,$D$5:$D$64,"Refund",$C$5:$C$64,"&lt;&gt;Expected")&gt;N(IFERROR(INDEX($E$5:$E$64,MATCH(I38,$A$5:$A$64,0)),""))+0.005,I38="")),AND(N38="Allocation only",OR(O38="",IFERROR(INDEX($F$5:$F$64,MATCH(O38,$A$5:$A$64,0)),"")&lt;&gt;F38,IFERROR(INDEX($N$5:$N$64,MATCH(O38,$A$5:$A$64,0)),"")&lt;&gt;"Cash only")),AND(Setup!$B$8="Checking",OR(F38="Savings",G38="Savings"))),"CHECK AGREEMENT / REFUND / SCOPE","READY"),"READY"))))))),"CHECK INVALID INPUT")</f>
        <v>UNUSED</v>
      </c>
      <c r="S38" t="str">
        <f t="shared" ref="S38:S69" si="55">IFERROR(IF(COUNTA(A38:P38)=0,"UNUSED",IF(NOT(AND(T38=1,OR(OR(F38="Checking",F38="Savings"),AND(D38="Refund",OR(G38="Checking",G38="Savings"))))),"READY",IF(OR(COUNT(K38:L38)&lt;&gt;2,MIN(K38:L38)&lt;0,ABS(SUM(K38:L38)-E38)&gt;0.005,AND(OR(F38="Checking",F38="Savings"),OR(K38&gt;IF(F38="Checking",AK37,AM37)+0.005,L38&gt;IF(F38="Checking",AL37,AN37)+0.005)),AND(OR(D38="Settlement",D38="PersonalSupport"),IF(M38="A",ABS(K38-E38)&gt;0.005,ABS(L38-E38)&gt;0.005)),AND(D38="ReturnContribution",IF(G38="A",ABS(K38-E38)&gt;0.005,ABS(L38-E38)&gt;0.005)),AND(D38="Refund",ABS(K38-ROUND(E38*(IF(IFERROR(INDEX($F$5:$F$64,MATCH(I38,$A$5:$A$64,0)),"")="A",1,IF(IFERROR(INDEX($F$5:$F$64,MATCH(I38,$A$5:$A$64,0)),"")="B",0,IFERROR(IFERROR(INDEX($K$5:$K$64,MATCH(I38,$A$5:$A$64,0)),"")/IFERROR(INDEX($E$5:$E$64,MATCH(I38,$A$5:$A$64,0)),""),0)))),2))&gt;0.005)),"CHECK SOURCE ATTRIBUTION","READY"))),"CHECK INVALID INPUT")</f>
        <v>UNUSED</v>
      </c>
      <c r="T38">
        <f t="shared" si="28"/>
        <v>0</v>
      </c>
      <c r="U38">
        <f t="shared" si="29"/>
        <v>0</v>
      </c>
      <c r="V38">
        <f>IFERROR(MATCH(H38,Agreements!$A$5:$A$16,0),0)</f>
        <v>0</v>
      </c>
      <c r="W38" s="6">
        <f>IF(D38="Refund",IFERROR(INDEX(Agreements!$AA$5:$AA$16,MATCH(IFERROR(INDEX($H$5:$H$64,MATCH(I38,$A$5:$A$64,0)),""),Agreements!$A$5:$A$16,0)),0),IFERROR(INDEX(Agreements!$AA$5:$AA$16,MATCH(H38,Agreements!$A$5:$A$16,0)),0))</f>
        <v>0</v>
      </c>
      <c r="X38" s="3">
        <f t="shared" si="30"/>
        <v>0</v>
      </c>
      <c r="Y38" s="3">
        <f t="shared" si="31"/>
        <v>0</v>
      </c>
      <c r="Z38" s="3">
        <f t="shared" si="32"/>
        <v>0</v>
      </c>
      <c r="AA38" s="3">
        <f t="shared" si="33"/>
        <v>0</v>
      </c>
      <c r="AB38" s="3">
        <f t="shared" si="34"/>
        <v>0</v>
      </c>
      <c r="AC38" s="3">
        <f t="shared" si="35"/>
        <v>0</v>
      </c>
      <c r="AD38" s="3">
        <f t="shared" si="36"/>
        <v>0</v>
      </c>
      <c r="AE38" s="3">
        <f t="shared" si="37"/>
        <v>0</v>
      </c>
      <c r="AF38" s="3">
        <f t="shared" si="38"/>
        <v>0</v>
      </c>
      <c r="AG38" s="3">
        <f t="shared" si="39"/>
        <v>0</v>
      </c>
      <c r="AH38" s="3">
        <f t="shared" si="40"/>
        <v>0</v>
      </c>
      <c r="AI38" s="3">
        <f>N(Setup!$B$12)+SUM(AC$5:AC38)</f>
        <v>0</v>
      </c>
      <c r="AJ38" s="3">
        <f>N(Setup!$B$18)+SUM(AD$5:AD38)</f>
        <v>0</v>
      </c>
      <c r="AK38" s="3">
        <f>N(Setup!$B$13)+SUM(AE$5:AE38)</f>
        <v>0</v>
      </c>
      <c r="AL38" s="3">
        <f>N(Setup!$B$14)+SUM(AF$5:AF38)</f>
        <v>0</v>
      </c>
      <c r="AM38" s="3">
        <f>N(Setup!$B$19)+SUM(AG$5:AG38)</f>
        <v>0</v>
      </c>
      <c r="AN38" s="3">
        <f>N(Setup!$B$20)+SUM(AH$5:AH38)</f>
        <v>0</v>
      </c>
      <c r="AO38" s="3">
        <f t="shared" si="41"/>
        <v>0</v>
      </c>
      <c r="AP38" s="3">
        <f t="shared" si="42"/>
        <v>0</v>
      </c>
      <c r="AQ38" s="3">
        <f t="shared" si="43"/>
        <v>0</v>
      </c>
      <c r="AR38" s="3">
        <f t="shared" si="44"/>
        <v>0</v>
      </c>
      <c r="AS38" s="3">
        <f t="shared" si="45"/>
        <v>0</v>
      </c>
      <c r="AT38" s="3">
        <f t="shared" si="46"/>
        <v>0</v>
      </c>
      <c r="AU38" s="3">
        <f t="shared" si="47"/>
        <v>0</v>
      </c>
      <c r="AV38" s="3">
        <f t="shared" si="48"/>
        <v>0</v>
      </c>
      <c r="AW38" s="3">
        <f t="shared" si="49"/>
        <v>0</v>
      </c>
      <c r="AX38" s="3">
        <f t="shared" si="50"/>
        <v>0</v>
      </c>
      <c r="AY38" s="3">
        <f t="shared" si="51"/>
        <v>0</v>
      </c>
      <c r="AZ38" t="b">
        <f t="shared" si="52"/>
        <v>0</v>
      </c>
      <c r="BA38" t="b">
        <f>OR(AND(F38="Checking",Setup!$B$8&lt;&gt;"None"),AND(F38="Savings",Setup!$B$8="Combined"))</f>
        <v>0</v>
      </c>
      <c r="BB38" t="b">
        <f>OR(AND(G38="Checking",Setup!$B$8&lt;&gt;"None"),AND(G38="Savings",Setup!$B$8="Combined"))</f>
        <v>0</v>
      </c>
      <c r="BC38" t="b">
        <f t="shared" si="53"/>
        <v>0</v>
      </c>
      <c r="BD38" s="3">
        <f t="shared" si="54"/>
        <v>0</v>
      </c>
    </row>
    <row r="39" spans="1:56" ht="63.95" customHeight="1" x14ac:dyDescent="0.25">
      <c r="A39" s="4"/>
      <c r="B39" s="7"/>
      <c r="C39" s="4"/>
      <c r="D39" s="4"/>
      <c r="E39" s="2"/>
      <c r="F39" s="4"/>
      <c r="G39" s="4"/>
      <c r="H39" s="4"/>
      <c r="I39" s="4"/>
      <c r="J39" s="4"/>
      <c r="K39" s="2"/>
      <c r="L39" s="2"/>
      <c r="M39" s="4"/>
      <c r="N39" s="4"/>
      <c r="O39" s="4"/>
      <c r="P39" s="4"/>
      <c r="Q39" t="str">
        <f>IFERROR(IF(AND(T39=1,SUMPRODUCT(--($B$5:B38&gt;B39),$T$5:T38)&gt;0),"CHECK CASH DATE ORDER",IF(COUNTA(A39:P39)=0,"UNUSED",IF(OR(A39="",NOT(ISNUMBER(B39)),NOT(ISNUMBER(E39)),E39&lt;0,COUNTIF($A$5:$A$64,A39)&lt;&gt;1,AND(C39&lt;&gt;"Confirmed",C39&lt;&gt;"Disputed",C39&lt;&gt;"Expected",C39&lt;&gt;"Historical"),AND(N39&lt;&gt;"Cash + allocation",N39&lt;&gt;"Cash only",N39&lt;&gt;"Allocation only"),LEN(TRIM(P39))=0),"CHECK ID / AMOUNT / STATUS",IF(C39="Expected","EXPECTED — EXCLUDED",IF(C39="Historical",IF(B39&lt;Setup!$B$6,"HISTORICAL — NO CASH","CHECK HISTORICAL DATE"),IF(OR(B39&lt;Setup!$B$6,B39&gt;Setup!$B$7,AND(D39="Expense",OR(AND(F39&lt;&gt;"A",F39&lt;&gt;"B",F39&lt;&gt;"Checking",F39&lt;&gt;"Savings"),G39&lt;&gt;"Merchant")),AND(D39="Refund",OR(F39&lt;&gt;"Merchant",AND(G39&lt;&gt;"A",G39&lt;&gt;"B",G39&lt;&gt;"Checking",G39&lt;&gt;"Savings"))),AND(D39="Contribution",OR(AND(F39&lt;&gt;"A",F39&lt;&gt;"B"),NOT(OR(G39="Checking",G39="Savings")))),AND(D39="ReturnContribution",OR(NOT(OR(F39="Checking",F39="Savings")),AND(G39&lt;&gt;"A",G39&lt;&gt;"B"))),AND(OR(D39="Settlement",D39="PersonalSupport"),OR(AND(M39&lt;&gt;"A",M39&lt;&gt;"B"),IF(M39="A",G39&lt;&gt;"B",G39&lt;&gt;"A"),AND(NOT(OR(F39="Checking",F39="Savings")),F39&lt;&gt;M39))),AND(OR(D39="InternalTransfer",D39="BoundaryTransfer"),OR(NOT(OR(F39="Checking",F39="Savings")),NOT(OR(G39="Checking",G39="Savings")),F39=G39)),AND(D39&lt;&gt;"Expense",D39&lt;&gt;"Refund",D39&lt;&gt;"Contribution",D39&lt;&gt;"ReturnContribution",D39&lt;&gt;"Settlement",D39&lt;&gt;"PersonalSupport",D39&lt;&gt;"InternalTransfer",D39&lt;&gt;"BoundaryTransfer"),AND(Setup!$B$8="None",OR(OR(F39="Checking",F39="Savings"),OR(G39="Checking",G39="Savings"))),AND(Setup!$B$8="Checking",Setup!$B$23&lt;&gt;"Active",OR(F39="Savings",G39="Savings")),AND(T39=1,MIN(AI39:AJ39)&lt; -0.005),AND(N39="Cash only",D39&lt;&gt;"Expense"),AND(N39="Allocation only",D39&lt;&gt;"Expense")),"CHECK CASH / SCOPE","READY")))))),"CHECK INVALID INPUT")</f>
        <v>UNUSED</v>
      </c>
      <c r="R39" t="str">
        <f>IFERROR(IF(AND(C39="Historical",D39="Expense",OR(IFERROR(INDEX(Agreements!$Z$5:$Z$16,MATCH(H39,Agreements!$A$5:$A$16,0)),"MISSING")&lt;&gt;"READY",B39&lt;IFERROR(INDEX(Agreements!$C$5:$C$16,MATCH(H39,Agreements!$A$5:$A$16,0)),0),B39&gt;IFERROR(INDEX(Agreements!$D$5:$D$16,MATCH(H39,Agreements!$A$5:$A$16,0)),0))),"CHECK HISTORICAL AGREEMENT",IF(AND(C39="Confirmed",D39="Refund",AND(IFERROR(INDEX($C$5:$C$64,MATCH(I39,$A$5:$A$64,0)),"")&lt;&gt;"Confirmed",IFERROR(INDEX($C$5:$C$64,MATCH(I39,$A$5:$A$64,0)),"")&lt;&gt;"Historical")),"CHECK REFUND SOURCE STATUS",IF(COUNTA(A39:P39)=0,"UNUSED",IF(OR(C39="Expected",C39="Historical"),"NOT CURRENT",IF(C39="Disputed","DISPUTED — CLOSE PENDING",IF(N39="Cash only",IF(ABS(BD39-E39)&lt;0.005,"READY","CHECK ALLOCATION TOTAL"),IF(OR(D39="Expense",D39="Refund"),IF(OR(IFERROR(INDEX(Agreements!$Z$5:$Z$16,MATCH(H39,Agreements!$A$5:$A$16,0)),0)&lt;&gt;"READY",AND(D39="Expense",OR(B39&lt;IFERROR(INDEX(Agreements!$C$5:$C$16,MATCH(H39,Agreements!$A$5:$A$16,0)),0),B39&gt;IFERROR(INDEX(Agreements!$D$5:$D$16,MATCH(H39,Agreements!$A$5:$A$16,0)),0))),AND(D39="Refund",OR(IFERROR(INDEX($D$5:$D$64,MATCH(I39,$A$5:$A$64,0)),"")&lt;&gt;"Expense",IFERROR(INDEX($H$5:$H$64,MATCH(I39,$A$5:$A$64,0)),"")&lt;&gt;H39,SUMIFS($E$5:$E$64,$I$5:$I$64,I39,$D$5:$D$64,"Refund",$C$5:$C$64,"&lt;&gt;Expected")&gt;N(IFERROR(INDEX($E$5:$E$64,MATCH(I39,$A$5:$A$64,0)),""))+0.005,I39="")),AND(N39="Allocation only",OR(O39="",IFERROR(INDEX($F$5:$F$64,MATCH(O39,$A$5:$A$64,0)),"")&lt;&gt;F39,IFERROR(INDEX($N$5:$N$64,MATCH(O39,$A$5:$A$64,0)),"")&lt;&gt;"Cash only")),AND(Setup!$B$8="Checking",OR(F39="Savings",G39="Savings"))),"CHECK AGREEMENT / REFUND / SCOPE","READY"),"READY"))))))),"CHECK INVALID INPUT")</f>
        <v>UNUSED</v>
      </c>
      <c r="S39" t="str">
        <f t="shared" si="55"/>
        <v>UNUSED</v>
      </c>
      <c r="T39">
        <f t="shared" si="28"/>
        <v>0</v>
      </c>
      <c r="U39">
        <f t="shared" si="29"/>
        <v>0</v>
      </c>
      <c r="V39">
        <f>IFERROR(MATCH(H39,Agreements!$A$5:$A$16,0),0)</f>
        <v>0</v>
      </c>
      <c r="W39" s="6">
        <f>IF(D39="Refund",IFERROR(INDEX(Agreements!$AA$5:$AA$16,MATCH(IFERROR(INDEX($H$5:$H$64,MATCH(I39,$A$5:$A$64,0)),""),Agreements!$A$5:$A$16,0)),0),IFERROR(INDEX(Agreements!$AA$5:$AA$16,MATCH(H39,Agreements!$A$5:$A$16,0)),0))</f>
        <v>0</v>
      </c>
      <c r="X39" s="3">
        <f t="shared" si="30"/>
        <v>0</v>
      </c>
      <c r="Y39" s="3">
        <f t="shared" si="31"/>
        <v>0</v>
      </c>
      <c r="Z39" s="3">
        <f t="shared" si="32"/>
        <v>0</v>
      </c>
      <c r="AA39" s="3">
        <f t="shared" si="33"/>
        <v>0</v>
      </c>
      <c r="AB39" s="3">
        <f t="shared" si="34"/>
        <v>0</v>
      </c>
      <c r="AC39" s="3">
        <f t="shared" si="35"/>
        <v>0</v>
      </c>
      <c r="AD39" s="3">
        <f t="shared" si="36"/>
        <v>0</v>
      </c>
      <c r="AE39" s="3">
        <f t="shared" si="37"/>
        <v>0</v>
      </c>
      <c r="AF39" s="3">
        <f t="shared" si="38"/>
        <v>0</v>
      </c>
      <c r="AG39" s="3">
        <f t="shared" si="39"/>
        <v>0</v>
      </c>
      <c r="AH39" s="3">
        <f t="shared" si="40"/>
        <v>0</v>
      </c>
      <c r="AI39" s="3">
        <f>N(Setup!$B$12)+SUM(AC$5:AC39)</f>
        <v>0</v>
      </c>
      <c r="AJ39" s="3">
        <f>N(Setup!$B$18)+SUM(AD$5:AD39)</f>
        <v>0</v>
      </c>
      <c r="AK39" s="3">
        <f>N(Setup!$B$13)+SUM(AE$5:AE39)</f>
        <v>0</v>
      </c>
      <c r="AL39" s="3">
        <f>N(Setup!$B$14)+SUM(AF$5:AF39)</f>
        <v>0</v>
      </c>
      <c r="AM39" s="3">
        <f>N(Setup!$B$19)+SUM(AG$5:AG39)</f>
        <v>0</v>
      </c>
      <c r="AN39" s="3">
        <f>N(Setup!$B$20)+SUM(AH$5:AH39)</f>
        <v>0</v>
      </c>
      <c r="AO39" s="3">
        <f t="shared" si="41"/>
        <v>0</v>
      </c>
      <c r="AP39" s="3">
        <f t="shared" si="42"/>
        <v>0</v>
      </c>
      <c r="AQ39" s="3">
        <f t="shared" si="43"/>
        <v>0</v>
      </c>
      <c r="AR39" s="3">
        <f t="shared" si="44"/>
        <v>0</v>
      </c>
      <c r="AS39" s="3">
        <f t="shared" si="45"/>
        <v>0</v>
      </c>
      <c r="AT39" s="3">
        <f t="shared" si="46"/>
        <v>0</v>
      </c>
      <c r="AU39" s="3">
        <f t="shared" si="47"/>
        <v>0</v>
      </c>
      <c r="AV39" s="3">
        <f t="shared" si="48"/>
        <v>0</v>
      </c>
      <c r="AW39" s="3">
        <f t="shared" si="49"/>
        <v>0</v>
      </c>
      <c r="AX39" s="3">
        <f t="shared" si="50"/>
        <v>0</v>
      </c>
      <c r="AY39" s="3">
        <f t="shared" si="51"/>
        <v>0</v>
      </c>
      <c r="AZ39" t="b">
        <f t="shared" si="52"/>
        <v>0</v>
      </c>
      <c r="BA39" t="b">
        <f>OR(AND(F39="Checking",Setup!$B$8&lt;&gt;"None"),AND(F39="Savings",Setup!$B$8="Combined"))</f>
        <v>0</v>
      </c>
      <c r="BB39" t="b">
        <f>OR(AND(G39="Checking",Setup!$B$8&lt;&gt;"None"),AND(G39="Savings",Setup!$B$8="Combined"))</f>
        <v>0</v>
      </c>
      <c r="BC39" t="b">
        <f t="shared" si="53"/>
        <v>0</v>
      </c>
      <c r="BD39" s="3">
        <f t="shared" si="54"/>
        <v>0</v>
      </c>
    </row>
    <row r="40" spans="1:56" ht="63.95" customHeight="1" x14ac:dyDescent="0.25">
      <c r="A40" s="4"/>
      <c r="B40" s="7"/>
      <c r="C40" s="4"/>
      <c r="D40" s="4"/>
      <c r="E40" s="2"/>
      <c r="F40" s="4"/>
      <c r="G40" s="4"/>
      <c r="H40" s="4"/>
      <c r="I40" s="4"/>
      <c r="J40" s="4"/>
      <c r="K40" s="2"/>
      <c r="L40" s="2"/>
      <c r="M40" s="4"/>
      <c r="N40" s="4"/>
      <c r="O40" s="4"/>
      <c r="P40" s="4"/>
      <c r="Q40" t="str">
        <f>IFERROR(IF(AND(T40=1,SUMPRODUCT(--($B$5:B39&gt;B40),$T$5:T39)&gt;0),"CHECK CASH DATE ORDER",IF(COUNTA(A40:P40)=0,"UNUSED",IF(OR(A40="",NOT(ISNUMBER(B40)),NOT(ISNUMBER(E40)),E40&lt;0,COUNTIF($A$5:$A$64,A40)&lt;&gt;1,AND(C40&lt;&gt;"Confirmed",C40&lt;&gt;"Disputed",C40&lt;&gt;"Expected",C40&lt;&gt;"Historical"),AND(N40&lt;&gt;"Cash + allocation",N40&lt;&gt;"Cash only",N40&lt;&gt;"Allocation only"),LEN(TRIM(P40))=0),"CHECK ID / AMOUNT / STATUS",IF(C40="Expected","EXPECTED — EXCLUDED",IF(C40="Historical",IF(B40&lt;Setup!$B$6,"HISTORICAL — NO CASH","CHECK HISTORICAL DATE"),IF(OR(B40&lt;Setup!$B$6,B40&gt;Setup!$B$7,AND(D40="Expense",OR(AND(F40&lt;&gt;"A",F40&lt;&gt;"B",F40&lt;&gt;"Checking",F40&lt;&gt;"Savings"),G40&lt;&gt;"Merchant")),AND(D40="Refund",OR(F40&lt;&gt;"Merchant",AND(G40&lt;&gt;"A",G40&lt;&gt;"B",G40&lt;&gt;"Checking",G40&lt;&gt;"Savings"))),AND(D40="Contribution",OR(AND(F40&lt;&gt;"A",F40&lt;&gt;"B"),NOT(OR(G40="Checking",G40="Savings")))),AND(D40="ReturnContribution",OR(NOT(OR(F40="Checking",F40="Savings")),AND(G40&lt;&gt;"A",G40&lt;&gt;"B"))),AND(OR(D40="Settlement",D40="PersonalSupport"),OR(AND(M40&lt;&gt;"A",M40&lt;&gt;"B"),IF(M40="A",G40&lt;&gt;"B",G40&lt;&gt;"A"),AND(NOT(OR(F40="Checking",F40="Savings")),F40&lt;&gt;M40))),AND(OR(D40="InternalTransfer",D40="BoundaryTransfer"),OR(NOT(OR(F40="Checking",F40="Savings")),NOT(OR(G40="Checking",G40="Savings")),F40=G40)),AND(D40&lt;&gt;"Expense",D40&lt;&gt;"Refund",D40&lt;&gt;"Contribution",D40&lt;&gt;"ReturnContribution",D40&lt;&gt;"Settlement",D40&lt;&gt;"PersonalSupport",D40&lt;&gt;"InternalTransfer",D40&lt;&gt;"BoundaryTransfer"),AND(Setup!$B$8="None",OR(OR(F40="Checking",F40="Savings"),OR(G40="Checking",G40="Savings"))),AND(Setup!$B$8="Checking",Setup!$B$23&lt;&gt;"Active",OR(F40="Savings",G40="Savings")),AND(T40=1,MIN(AI40:AJ40)&lt; -0.005),AND(N40="Cash only",D40&lt;&gt;"Expense"),AND(N40="Allocation only",D40&lt;&gt;"Expense")),"CHECK CASH / SCOPE","READY")))))),"CHECK INVALID INPUT")</f>
        <v>UNUSED</v>
      </c>
      <c r="R40" t="str">
        <f>IFERROR(IF(AND(C40="Historical",D40="Expense",OR(IFERROR(INDEX(Agreements!$Z$5:$Z$16,MATCH(H40,Agreements!$A$5:$A$16,0)),"MISSING")&lt;&gt;"READY",B40&lt;IFERROR(INDEX(Agreements!$C$5:$C$16,MATCH(H40,Agreements!$A$5:$A$16,0)),0),B40&gt;IFERROR(INDEX(Agreements!$D$5:$D$16,MATCH(H40,Agreements!$A$5:$A$16,0)),0))),"CHECK HISTORICAL AGREEMENT",IF(AND(C40="Confirmed",D40="Refund",AND(IFERROR(INDEX($C$5:$C$64,MATCH(I40,$A$5:$A$64,0)),"")&lt;&gt;"Confirmed",IFERROR(INDEX($C$5:$C$64,MATCH(I40,$A$5:$A$64,0)),"")&lt;&gt;"Historical")),"CHECK REFUND SOURCE STATUS",IF(COUNTA(A40:P40)=0,"UNUSED",IF(OR(C40="Expected",C40="Historical"),"NOT CURRENT",IF(C40="Disputed","DISPUTED — CLOSE PENDING",IF(N40="Cash only",IF(ABS(BD40-E40)&lt;0.005,"READY","CHECK ALLOCATION TOTAL"),IF(OR(D40="Expense",D40="Refund"),IF(OR(IFERROR(INDEX(Agreements!$Z$5:$Z$16,MATCH(H40,Agreements!$A$5:$A$16,0)),0)&lt;&gt;"READY",AND(D40="Expense",OR(B40&lt;IFERROR(INDEX(Agreements!$C$5:$C$16,MATCH(H40,Agreements!$A$5:$A$16,0)),0),B40&gt;IFERROR(INDEX(Agreements!$D$5:$D$16,MATCH(H40,Agreements!$A$5:$A$16,0)),0))),AND(D40="Refund",OR(IFERROR(INDEX($D$5:$D$64,MATCH(I40,$A$5:$A$64,0)),"")&lt;&gt;"Expense",IFERROR(INDEX($H$5:$H$64,MATCH(I40,$A$5:$A$64,0)),"")&lt;&gt;H40,SUMIFS($E$5:$E$64,$I$5:$I$64,I40,$D$5:$D$64,"Refund",$C$5:$C$64,"&lt;&gt;Expected")&gt;N(IFERROR(INDEX($E$5:$E$64,MATCH(I40,$A$5:$A$64,0)),""))+0.005,I40="")),AND(N40="Allocation only",OR(O40="",IFERROR(INDEX($F$5:$F$64,MATCH(O40,$A$5:$A$64,0)),"")&lt;&gt;F40,IFERROR(INDEX($N$5:$N$64,MATCH(O40,$A$5:$A$64,0)),"")&lt;&gt;"Cash only")),AND(Setup!$B$8="Checking",OR(F40="Savings",G40="Savings"))),"CHECK AGREEMENT / REFUND / SCOPE","READY"),"READY"))))))),"CHECK INVALID INPUT")</f>
        <v>UNUSED</v>
      </c>
      <c r="S40" t="str">
        <f t="shared" si="55"/>
        <v>UNUSED</v>
      </c>
      <c r="T40">
        <f t="shared" si="28"/>
        <v>0</v>
      </c>
      <c r="U40">
        <f t="shared" si="29"/>
        <v>0</v>
      </c>
      <c r="V40">
        <f>IFERROR(MATCH(H40,Agreements!$A$5:$A$16,0),0)</f>
        <v>0</v>
      </c>
      <c r="W40" s="6">
        <f>IF(D40="Refund",IFERROR(INDEX(Agreements!$AA$5:$AA$16,MATCH(IFERROR(INDEX($H$5:$H$64,MATCH(I40,$A$5:$A$64,0)),""),Agreements!$A$5:$A$16,0)),0),IFERROR(INDEX(Agreements!$AA$5:$AA$16,MATCH(H40,Agreements!$A$5:$A$16,0)),0))</f>
        <v>0</v>
      </c>
      <c r="X40" s="3">
        <f t="shared" si="30"/>
        <v>0</v>
      </c>
      <c r="Y40" s="3">
        <f t="shared" si="31"/>
        <v>0</v>
      </c>
      <c r="Z40" s="3">
        <f t="shared" si="32"/>
        <v>0</v>
      </c>
      <c r="AA40" s="3">
        <f t="shared" si="33"/>
        <v>0</v>
      </c>
      <c r="AB40" s="3">
        <f t="shared" si="34"/>
        <v>0</v>
      </c>
      <c r="AC40" s="3">
        <f t="shared" si="35"/>
        <v>0</v>
      </c>
      <c r="AD40" s="3">
        <f t="shared" si="36"/>
        <v>0</v>
      </c>
      <c r="AE40" s="3">
        <f t="shared" si="37"/>
        <v>0</v>
      </c>
      <c r="AF40" s="3">
        <f t="shared" si="38"/>
        <v>0</v>
      </c>
      <c r="AG40" s="3">
        <f t="shared" si="39"/>
        <v>0</v>
      </c>
      <c r="AH40" s="3">
        <f t="shared" si="40"/>
        <v>0</v>
      </c>
      <c r="AI40" s="3">
        <f>N(Setup!$B$12)+SUM(AC$5:AC40)</f>
        <v>0</v>
      </c>
      <c r="AJ40" s="3">
        <f>N(Setup!$B$18)+SUM(AD$5:AD40)</f>
        <v>0</v>
      </c>
      <c r="AK40" s="3">
        <f>N(Setup!$B$13)+SUM(AE$5:AE40)</f>
        <v>0</v>
      </c>
      <c r="AL40" s="3">
        <f>N(Setup!$B$14)+SUM(AF$5:AF40)</f>
        <v>0</v>
      </c>
      <c r="AM40" s="3">
        <f>N(Setup!$B$19)+SUM(AG$5:AG40)</f>
        <v>0</v>
      </c>
      <c r="AN40" s="3">
        <f>N(Setup!$B$20)+SUM(AH$5:AH40)</f>
        <v>0</v>
      </c>
      <c r="AO40" s="3">
        <f t="shared" si="41"/>
        <v>0</v>
      </c>
      <c r="AP40" s="3">
        <f t="shared" si="42"/>
        <v>0</v>
      </c>
      <c r="AQ40" s="3">
        <f t="shared" si="43"/>
        <v>0</v>
      </c>
      <c r="AR40" s="3">
        <f t="shared" si="44"/>
        <v>0</v>
      </c>
      <c r="AS40" s="3">
        <f t="shared" si="45"/>
        <v>0</v>
      </c>
      <c r="AT40" s="3">
        <f t="shared" si="46"/>
        <v>0</v>
      </c>
      <c r="AU40" s="3">
        <f t="shared" si="47"/>
        <v>0</v>
      </c>
      <c r="AV40" s="3">
        <f t="shared" si="48"/>
        <v>0</v>
      </c>
      <c r="AW40" s="3">
        <f t="shared" si="49"/>
        <v>0</v>
      </c>
      <c r="AX40" s="3">
        <f t="shared" si="50"/>
        <v>0</v>
      </c>
      <c r="AY40" s="3">
        <f t="shared" si="51"/>
        <v>0</v>
      </c>
      <c r="AZ40" t="b">
        <f t="shared" si="52"/>
        <v>0</v>
      </c>
      <c r="BA40" t="b">
        <f>OR(AND(F40="Checking",Setup!$B$8&lt;&gt;"None"),AND(F40="Savings",Setup!$B$8="Combined"))</f>
        <v>0</v>
      </c>
      <c r="BB40" t="b">
        <f>OR(AND(G40="Checking",Setup!$B$8&lt;&gt;"None"),AND(G40="Savings",Setup!$B$8="Combined"))</f>
        <v>0</v>
      </c>
      <c r="BC40" t="b">
        <f t="shared" si="53"/>
        <v>0</v>
      </c>
      <c r="BD40" s="3">
        <f t="shared" si="54"/>
        <v>0</v>
      </c>
    </row>
    <row r="41" spans="1:56" ht="63.95" customHeight="1" x14ac:dyDescent="0.25">
      <c r="A41" s="4"/>
      <c r="B41" s="7"/>
      <c r="C41" s="4"/>
      <c r="D41" s="4"/>
      <c r="E41" s="2"/>
      <c r="F41" s="4"/>
      <c r="G41" s="4"/>
      <c r="H41" s="4"/>
      <c r="I41" s="4"/>
      <c r="J41" s="4"/>
      <c r="K41" s="2"/>
      <c r="L41" s="2"/>
      <c r="M41" s="4"/>
      <c r="N41" s="4"/>
      <c r="O41" s="4"/>
      <c r="P41" s="4"/>
      <c r="Q41" t="str">
        <f>IFERROR(IF(AND(T41=1,SUMPRODUCT(--($B$5:B40&gt;B41),$T$5:T40)&gt;0),"CHECK CASH DATE ORDER",IF(COUNTA(A41:P41)=0,"UNUSED",IF(OR(A41="",NOT(ISNUMBER(B41)),NOT(ISNUMBER(E41)),E41&lt;0,COUNTIF($A$5:$A$64,A41)&lt;&gt;1,AND(C41&lt;&gt;"Confirmed",C41&lt;&gt;"Disputed",C41&lt;&gt;"Expected",C41&lt;&gt;"Historical"),AND(N41&lt;&gt;"Cash + allocation",N41&lt;&gt;"Cash only",N41&lt;&gt;"Allocation only"),LEN(TRIM(P41))=0),"CHECK ID / AMOUNT / STATUS",IF(C41="Expected","EXPECTED — EXCLUDED",IF(C41="Historical",IF(B41&lt;Setup!$B$6,"HISTORICAL — NO CASH","CHECK HISTORICAL DATE"),IF(OR(B41&lt;Setup!$B$6,B41&gt;Setup!$B$7,AND(D41="Expense",OR(AND(F41&lt;&gt;"A",F41&lt;&gt;"B",F41&lt;&gt;"Checking",F41&lt;&gt;"Savings"),G41&lt;&gt;"Merchant")),AND(D41="Refund",OR(F41&lt;&gt;"Merchant",AND(G41&lt;&gt;"A",G41&lt;&gt;"B",G41&lt;&gt;"Checking",G41&lt;&gt;"Savings"))),AND(D41="Contribution",OR(AND(F41&lt;&gt;"A",F41&lt;&gt;"B"),NOT(OR(G41="Checking",G41="Savings")))),AND(D41="ReturnContribution",OR(NOT(OR(F41="Checking",F41="Savings")),AND(G41&lt;&gt;"A",G41&lt;&gt;"B"))),AND(OR(D41="Settlement",D41="PersonalSupport"),OR(AND(M41&lt;&gt;"A",M41&lt;&gt;"B"),IF(M41="A",G41&lt;&gt;"B",G41&lt;&gt;"A"),AND(NOT(OR(F41="Checking",F41="Savings")),F41&lt;&gt;M41))),AND(OR(D41="InternalTransfer",D41="BoundaryTransfer"),OR(NOT(OR(F41="Checking",F41="Savings")),NOT(OR(G41="Checking",G41="Savings")),F41=G41)),AND(D41&lt;&gt;"Expense",D41&lt;&gt;"Refund",D41&lt;&gt;"Contribution",D41&lt;&gt;"ReturnContribution",D41&lt;&gt;"Settlement",D41&lt;&gt;"PersonalSupport",D41&lt;&gt;"InternalTransfer",D41&lt;&gt;"BoundaryTransfer"),AND(Setup!$B$8="None",OR(OR(F41="Checking",F41="Savings"),OR(G41="Checking",G41="Savings"))),AND(Setup!$B$8="Checking",Setup!$B$23&lt;&gt;"Active",OR(F41="Savings",G41="Savings")),AND(T41=1,MIN(AI41:AJ41)&lt; -0.005),AND(N41="Cash only",D41&lt;&gt;"Expense"),AND(N41="Allocation only",D41&lt;&gt;"Expense")),"CHECK CASH / SCOPE","READY")))))),"CHECK INVALID INPUT")</f>
        <v>UNUSED</v>
      </c>
      <c r="R41" t="str">
        <f>IFERROR(IF(AND(C41="Historical",D41="Expense",OR(IFERROR(INDEX(Agreements!$Z$5:$Z$16,MATCH(H41,Agreements!$A$5:$A$16,0)),"MISSING")&lt;&gt;"READY",B41&lt;IFERROR(INDEX(Agreements!$C$5:$C$16,MATCH(H41,Agreements!$A$5:$A$16,0)),0),B41&gt;IFERROR(INDEX(Agreements!$D$5:$D$16,MATCH(H41,Agreements!$A$5:$A$16,0)),0))),"CHECK HISTORICAL AGREEMENT",IF(AND(C41="Confirmed",D41="Refund",AND(IFERROR(INDEX($C$5:$C$64,MATCH(I41,$A$5:$A$64,0)),"")&lt;&gt;"Confirmed",IFERROR(INDEX($C$5:$C$64,MATCH(I41,$A$5:$A$64,0)),"")&lt;&gt;"Historical")),"CHECK REFUND SOURCE STATUS",IF(COUNTA(A41:P41)=0,"UNUSED",IF(OR(C41="Expected",C41="Historical"),"NOT CURRENT",IF(C41="Disputed","DISPUTED — CLOSE PENDING",IF(N41="Cash only",IF(ABS(BD41-E41)&lt;0.005,"READY","CHECK ALLOCATION TOTAL"),IF(OR(D41="Expense",D41="Refund"),IF(OR(IFERROR(INDEX(Agreements!$Z$5:$Z$16,MATCH(H41,Agreements!$A$5:$A$16,0)),0)&lt;&gt;"READY",AND(D41="Expense",OR(B41&lt;IFERROR(INDEX(Agreements!$C$5:$C$16,MATCH(H41,Agreements!$A$5:$A$16,0)),0),B41&gt;IFERROR(INDEX(Agreements!$D$5:$D$16,MATCH(H41,Agreements!$A$5:$A$16,0)),0))),AND(D41="Refund",OR(IFERROR(INDEX($D$5:$D$64,MATCH(I41,$A$5:$A$64,0)),"")&lt;&gt;"Expense",IFERROR(INDEX($H$5:$H$64,MATCH(I41,$A$5:$A$64,0)),"")&lt;&gt;H41,SUMIFS($E$5:$E$64,$I$5:$I$64,I41,$D$5:$D$64,"Refund",$C$5:$C$64,"&lt;&gt;Expected")&gt;N(IFERROR(INDEX($E$5:$E$64,MATCH(I41,$A$5:$A$64,0)),""))+0.005,I41="")),AND(N41="Allocation only",OR(O41="",IFERROR(INDEX($F$5:$F$64,MATCH(O41,$A$5:$A$64,0)),"")&lt;&gt;F41,IFERROR(INDEX($N$5:$N$64,MATCH(O41,$A$5:$A$64,0)),"")&lt;&gt;"Cash only")),AND(Setup!$B$8="Checking",OR(F41="Savings",G41="Savings"))),"CHECK AGREEMENT / REFUND / SCOPE","READY"),"READY"))))))),"CHECK INVALID INPUT")</f>
        <v>UNUSED</v>
      </c>
      <c r="S41" t="str">
        <f t="shared" si="55"/>
        <v>UNUSED</v>
      </c>
      <c r="T41">
        <f t="shared" si="28"/>
        <v>0</v>
      </c>
      <c r="U41">
        <f t="shared" si="29"/>
        <v>0</v>
      </c>
      <c r="V41">
        <f>IFERROR(MATCH(H41,Agreements!$A$5:$A$16,0),0)</f>
        <v>0</v>
      </c>
      <c r="W41" s="6">
        <f>IF(D41="Refund",IFERROR(INDEX(Agreements!$AA$5:$AA$16,MATCH(IFERROR(INDEX($H$5:$H$64,MATCH(I41,$A$5:$A$64,0)),""),Agreements!$A$5:$A$16,0)),0),IFERROR(INDEX(Agreements!$AA$5:$AA$16,MATCH(H41,Agreements!$A$5:$A$16,0)),0))</f>
        <v>0</v>
      </c>
      <c r="X41" s="3">
        <f t="shared" si="30"/>
        <v>0</v>
      </c>
      <c r="Y41" s="3">
        <f t="shared" si="31"/>
        <v>0</v>
      </c>
      <c r="Z41" s="3">
        <f t="shared" si="32"/>
        <v>0</v>
      </c>
      <c r="AA41" s="3">
        <f t="shared" si="33"/>
        <v>0</v>
      </c>
      <c r="AB41" s="3">
        <f t="shared" si="34"/>
        <v>0</v>
      </c>
      <c r="AC41" s="3">
        <f t="shared" si="35"/>
        <v>0</v>
      </c>
      <c r="AD41" s="3">
        <f t="shared" si="36"/>
        <v>0</v>
      </c>
      <c r="AE41" s="3">
        <f t="shared" si="37"/>
        <v>0</v>
      </c>
      <c r="AF41" s="3">
        <f t="shared" si="38"/>
        <v>0</v>
      </c>
      <c r="AG41" s="3">
        <f t="shared" si="39"/>
        <v>0</v>
      </c>
      <c r="AH41" s="3">
        <f t="shared" si="40"/>
        <v>0</v>
      </c>
      <c r="AI41" s="3">
        <f>N(Setup!$B$12)+SUM(AC$5:AC41)</f>
        <v>0</v>
      </c>
      <c r="AJ41" s="3">
        <f>N(Setup!$B$18)+SUM(AD$5:AD41)</f>
        <v>0</v>
      </c>
      <c r="AK41" s="3">
        <f>N(Setup!$B$13)+SUM(AE$5:AE41)</f>
        <v>0</v>
      </c>
      <c r="AL41" s="3">
        <f>N(Setup!$B$14)+SUM(AF$5:AF41)</f>
        <v>0</v>
      </c>
      <c r="AM41" s="3">
        <f>N(Setup!$B$19)+SUM(AG$5:AG41)</f>
        <v>0</v>
      </c>
      <c r="AN41" s="3">
        <f>N(Setup!$B$20)+SUM(AH$5:AH41)</f>
        <v>0</v>
      </c>
      <c r="AO41" s="3">
        <f t="shared" si="41"/>
        <v>0</v>
      </c>
      <c r="AP41" s="3">
        <f t="shared" si="42"/>
        <v>0</v>
      </c>
      <c r="AQ41" s="3">
        <f t="shared" si="43"/>
        <v>0</v>
      </c>
      <c r="AR41" s="3">
        <f t="shared" si="44"/>
        <v>0</v>
      </c>
      <c r="AS41" s="3">
        <f t="shared" si="45"/>
        <v>0</v>
      </c>
      <c r="AT41" s="3">
        <f t="shared" si="46"/>
        <v>0</v>
      </c>
      <c r="AU41" s="3">
        <f t="shared" si="47"/>
        <v>0</v>
      </c>
      <c r="AV41" s="3">
        <f t="shared" si="48"/>
        <v>0</v>
      </c>
      <c r="AW41" s="3">
        <f t="shared" si="49"/>
        <v>0</v>
      </c>
      <c r="AX41" s="3">
        <f t="shared" si="50"/>
        <v>0</v>
      </c>
      <c r="AY41" s="3">
        <f t="shared" si="51"/>
        <v>0</v>
      </c>
      <c r="AZ41" t="b">
        <f t="shared" si="52"/>
        <v>0</v>
      </c>
      <c r="BA41" t="b">
        <f>OR(AND(F41="Checking",Setup!$B$8&lt;&gt;"None"),AND(F41="Savings",Setup!$B$8="Combined"))</f>
        <v>0</v>
      </c>
      <c r="BB41" t="b">
        <f>OR(AND(G41="Checking",Setup!$B$8&lt;&gt;"None"),AND(G41="Savings",Setup!$B$8="Combined"))</f>
        <v>0</v>
      </c>
      <c r="BC41" t="b">
        <f t="shared" si="53"/>
        <v>0</v>
      </c>
      <c r="BD41" s="3">
        <f t="shared" si="54"/>
        <v>0</v>
      </c>
    </row>
    <row r="42" spans="1:56" ht="63.95" customHeight="1" x14ac:dyDescent="0.25">
      <c r="A42" s="4"/>
      <c r="B42" s="7"/>
      <c r="C42" s="4"/>
      <c r="D42" s="4"/>
      <c r="E42" s="2"/>
      <c r="F42" s="4"/>
      <c r="G42" s="4"/>
      <c r="H42" s="4"/>
      <c r="I42" s="4"/>
      <c r="J42" s="4"/>
      <c r="K42" s="2"/>
      <c r="L42" s="2"/>
      <c r="M42" s="4"/>
      <c r="N42" s="4"/>
      <c r="O42" s="4"/>
      <c r="P42" s="4"/>
      <c r="Q42" t="str">
        <f>IFERROR(IF(AND(T42=1,SUMPRODUCT(--($B$5:B41&gt;B42),$T$5:T41)&gt;0),"CHECK CASH DATE ORDER",IF(COUNTA(A42:P42)=0,"UNUSED",IF(OR(A42="",NOT(ISNUMBER(B42)),NOT(ISNUMBER(E42)),E42&lt;0,COUNTIF($A$5:$A$64,A42)&lt;&gt;1,AND(C42&lt;&gt;"Confirmed",C42&lt;&gt;"Disputed",C42&lt;&gt;"Expected",C42&lt;&gt;"Historical"),AND(N42&lt;&gt;"Cash + allocation",N42&lt;&gt;"Cash only",N42&lt;&gt;"Allocation only"),LEN(TRIM(P42))=0),"CHECK ID / AMOUNT / STATUS",IF(C42="Expected","EXPECTED — EXCLUDED",IF(C42="Historical",IF(B42&lt;Setup!$B$6,"HISTORICAL — NO CASH","CHECK HISTORICAL DATE"),IF(OR(B42&lt;Setup!$B$6,B42&gt;Setup!$B$7,AND(D42="Expense",OR(AND(F42&lt;&gt;"A",F42&lt;&gt;"B",F42&lt;&gt;"Checking",F42&lt;&gt;"Savings"),G42&lt;&gt;"Merchant")),AND(D42="Refund",OR(F42&lt;&gt;"Merchant",AND(G42&lt;&gt;"A",G42&lt;&gt;"B",G42&lt;&gt;"Checking",G42&lt;&gt;"Savings"))),AND(D42="Contribution",OR(AND(F42&lt;&gt;"A",F42&lt;&gt;"B"),NOT(OR(G42="Checking",G42="Savings")))),AND(D42="ReturnContribution",OR(NOT(OR(F42="Checking",F42="Savings")),AND(G42&lt;&gt;"A",G42&lt;&gt;"B"))),AND(OR(D42="Settlement",D42="PersonalSupport"),OR(AND(M42&lt;&gt;"A",M42&lt;&gt;"B"),IF(M42="A",G42&lt;&gt;"B",G42&lt;&gt;"A"),AND(NOT(OR(F42="Checking",F42="Savings")),F42&lt;&gt;M42))),AND(OR(D42="InternalTransfer",D42="BoundaryTransfer"),OR(NOT(OR(F42="Checking",F42="Savings")),NOT(OR(G42="Checking",G42="Savings")),F42=G42)),AND(D42&lt;&gt;"Expense",D42&lt;&gt;"Refund",D42&lt;&gt;"Contribution",D42&lt;&gt;"ReturnContribution",D42&lt;&gt;"Settlement",D42&lt;&gt;"PersonalSupport",D42&lt;&gt;"InternalTransfer",D42&lt;&gt;"BoundaryTransfer"),AND(Setup!$B$8="None",OR(OR(F42="Checking",F42="Savings"),OR(G42="Checking",G42="Savings"))),AND(Setup!$B$8="Checking",Setup!$B$23&lt;&gt;"Active",OR(F42="Savings",G42="Savings")),AND(T42=1,MIN(AI42:AJ42)&lt; -0.005),AND(N42="Cash only",D42&lt;&gt;"Expense"),AND(N42="Allocation only",D42&lt;&gt;"Expense")),"CHECK CASH / SCOPE","READY")))))),"CHECK INVALID INPUT")</f>
        <v>UNUSED</v>
      </c>
      <c r="R42" t="str">
        <f>IFERROR(IF(AND(C42="Historical",D42="Expense",OR(IFERROR(INDEX(Agreements!$Z$5:$Z$16,MATCH(H42,Agreements!$A$5:$A$16,0)),"MISSING")&lt;&gt;"READY",B42&lt;IFERROR(INDEX(Agreements!$C$5:$C$16,MATCH(H42,Agreements!$A$5:$A$16,0)),0),B42&gt;IFERROR(INDEX(Agreements!$D$5:$D$16,MATCH(H42,Agreements!$A$5:$A$16,0)),0))),"CHECK HISTORICAL AGREEMENT",IF(AND(C42="Confirmed",D42="Refund",AND(IFERROR(INDEX($C$5:$C$64,MATCH(I42,$A$5:$A$64,0)),"")&lt;&gt;"Confirmed",IFERROR(INDEX($C$5:$C$64,MATCH(I42,$A$5:$A$64,0)),"")&lt;&gt;"Historical")),"CHECK REFUND SOURCE STATUS",IF(COUNTA(A42:P42)=0,"UNUSED",IF(OR(C42="Expected",C42="Historical"),"NOT CURRENT",IF(C42="Disputed","DISPUTED — CLOSE PENDING",IF(N42="Cash only",IF(ABS(BD42-E42)&lt;0.005,"READY","CHECK ALLOCATION TOTAL"),IF(OR(D42="Expense",D42="Refund"),IF(OR(IFERROR(INDEX(Agreements!$Z$5:$Z$16,MATCH(H42,Agreements!$A$5:$A$16,0)),0)&lt;&gt;"READY",AND(D42="Expense",OR(B42&lt;IFERROR(INDEX(Agreements!$C$5:$C$16,MATCH(H42,Agreements!$A$5:$A$16,0)),0),B42&gt;IFERROR(INDEX(Agreements!$D$5:$D$16,MATCH(H42,Agreements!$A$5:$A$16,0)),0))),AND(D42="Refund",OR(IFERROR(INDEX($D$5:$D$64,MATCH(I42,$A$5:$A$64,0)),"")&lt;&gt;"Expense",IFERROR(INDEX($H$5:$H$64,MATCH(I42,$A$5:$A$64,0)),"")&lt;&gt;H42,SUMIFS($E$5:$E$64,$I$5:$I$64,I42,$D$5:$D$64,"Refund",$C$5:$C$64,"&lt;&gt;Expected")&gt;N(IFERROR(INDEX($E$5:$E$64,MATCH(I42,$A$5:$A$64,0)),""))+0.005,I42="")),AND(N42="Allocation only",OR(O42="",IFERROR(INDEX($F$5:$F$64,MATCH(O42,$A$5:$A$64,0)),"")&lt;&gt;F42,IFERROR(INDEX($N$5:$N$64,MATCH(O42,$A$5:$A$64,0)),"")&lt;&gt;"Cash only")),AND(Setup!$B$8="Checking",OR(F42="Savings",G42="Savings"))),"CHECK AGREEMENT / REFUND / SCOPE","READY"),"READY"))))))),"CHECK INVALID INPUT")</f>
        <v>UNUSED</v>
      </c>
      <c r="S42" t="str">
        <f t="shared" si="55"/>
        <v>UNUSED</v>
      </c>
      <c r="T42">
        <f t="shared" si="28"/>
        <v>0</v>
      </c>
      <c r="U42">
        <f t="shared" si="29"/>
        <v>0</v>
      </c>
      <c r="V42">
        <f>IFERROR(MATCH(H42,Agreements!$A$5:$A$16,0),0)</f>
        <v>0</v>
      </c>
      <c r="W42" s="6">
        <f>IF(D42="Refund",IFERROR(INDEX(Agreements!$AA$5:$AA$16,MATCH(IFERROR(INDEX($H$5:$H$64,MATCH(I42,$A$5:$A$64,0)),""),Agreements!$A$5:$A$16,0)),0),IFERROR(INDEX(Agreements!$AA$5:$AA$16,MATCH(H42,Agreements!$A$5:$A$16,0)),0))</f>
        <v>0</v>
      </c>
      <c r="X42" s="3">
        <f t="shared" si="30"/>
        <v>0</v>
      </c>
      <c r="Y42" s="3">
        <f t="shared" si="31"/>
        <v>0</v>
      </c>
      <c r="Z42" s="3">
        <f t="shared" si="32"/>
        <v>0</v>
      </c>
      <c r="AA42" s="3">
        <f t="shared" si="33"/>
        <v>0</v>
      </c>
      <c r="AB42" s="3">
        <f t="shared" si="34"/>
        <v>0</v>
      </c>
      <c r="AC42" s="3">
        <f t="shared" si="35"/>
        <v>0</v>
      </c>
      <c r="AD42" s="3">
        <f t="shared" si="36"/>
        <v>0</v>
      </c>
      <c r="AE42" s="3">
        <f t="shared" si="37"/>
        <v>0</v>
      </c>
      <c r="AF42" s="3">
        <f t="shared" si="38"/>
        <v>0</v>
      </c>
      <c r="AG42" s="3">
        <f t="shared" si="39"/>
        <v>0</v>
      </c>
      <c r="AH42" s="3">
        <f t="shared" si="40"/>
        <v>0</v>
      </c>
      <c r="AI42" s="3">
        <f>N(Setup!$B$12)+SUM(AC$5:AC42)</f>
        <v>0</v>
      </c>
      <c r="AJ42" s="3">
        <f>N(Setup!$B$18)+SUM(AD$5:AD42)</f>
        <v>0</v>
      </c>
      <c r="AK42" s="3">
        <f>N(Setup!$B$13)+SUM(AE$5:AE42)</f>
        <v>0</v>
      </c>
      <c r="AL42" s="3">
        <f>N(Setup!$B$14)+SUM(AF$5:AF42)</f>
        <v>0</v>
      </c>
      <c r="AM42" s="3">
        <f>N(Setup!$B$19)+SUM(AG$5:AG42)</f>
        <v>0</v>
      </c>
      <c r="AN42" s="3">
        <f>N(Setup!$B$20)+SUM(AH$5:AH42)</f>
        <v>0</v>
      </c>
      <c r="AO42" s="3">
        <f t="shared" si="41"/>
        <v>0</v>
      </c>
      <c r="AP42" s="3">
        <f t="shared" si="42"/>
        <v>0</v>
      </c>
      <c r="AQ42" s="3">
        <f t="shared" si="43"/>
        <v>0</v>
      </c>
      <c r="AR42" s="3">
        <f t="shared" si="44"/>
        <v>0</v>
      </c>
      <c r="AS42" s="3">
        <f t="shared" si="45"/>
        <v>0</v>
      </c>
      <c r="AT42" s="3">
        <f t="shared" si="46"/>
        <v>0</v>
      </c>
      <c r="AU42" s="3">
        <f t="shared" si="47"/>
        <v>0</v>
      </c>
      <c r="AV42" s="3">
        <f t="shared" si="48"/>
        <v>0</v>
      </c>
      <c r="AW42" s="3">
        <f t="shared" si="49"/>
        <v>0</v>
      </c>
      <c r="AX42" s="3">
        <f t="shared" si="50"/>
        <v>0</v>
      </c>
      <c r="AY42" s="3">
        <f t="shared" si="51"/>
        <v>0</v>
      </c>
      <c r="AZ42" t="b">
        <f t="shared" si="52"/>
        <v>0</v>
      </c>
      <c r="BA42" t="b">
        <f>OR(AND(F42="Checking",Setup!$B$8&lt;&gt;"None"),AND(F42="Savings",Setup!$B$8="Combined"))</f>
        <v>0</v>
      </c>
      <c r="BB42" t="b">
        <f>OR(AND(G42="Checking",Setup!$B$8&lt;&gt;"None"),AND(G42="Savings",Setup!$B$8="Combined"))</f>
        <v>0</v>
      </c>
      <c r="BC42" t="b">
        <f t="shared" si="53"/>
        <v>0</v>
      </c>
      <c r="BD42" s="3">
        <f t="shared" si="54"/>
        <v>0</v>
      </c>
    </row>
    <row r="43" spans="1:56" ht="63.95" customHeight="1" x14ac:dyDescent="0.25">
      <c r="A43" s="4"/>
      <c r="B43" s="7"/>
      <c r="C43" s="4"/>
      <c r="D43" s="4"/>
      <c r="E43" s="2"/>
      <c r="F43" s="4"/>
      <c r="G43" s="4"/>
      <c r="H43" s="4"/>
      <c r="I43" s="4"/>
      <c r="J43" s="4"/>
      <c r="K43" s="2"/>
      <c r="L43" s="2"/>
      <c r="M43" s="4"/>
      <c r="N43" s="4"/>
      <c r="O43" s="4"/>
      <c r="P43" s="4"/>
      <c r="Q43" t="str">
        <f>IFERROR(IF(AND(T43=1,SUMPRODUCT(--($B$5:B42&gt;B43),$T$5:T42)&gt;0),"CHECK CASH DATE ORDER",IF(COUNTA(A43:P43)=0,"UNUSED",IF(OR(A43="",NOT(ISNUMBER(B43)),NOT(ISNUMBER(E43)),E43&lt;0,COUNTIF($A$5:$A$64,A43)&lt;&gt;1,AND(C43&lt;&gt;"Confirmed",C43&lt;&gt;"Disputed",C43&lt;&gt;"Expected",C43&lt;&gt;"Historical"),AND(N43&lt;&gt;"Cash + allocation",N43&lt;&gt;"Cash only",N43&lt;&gt;"Allocation only"),LEN(TRIM(P43))=0),"CHECK ID / AMOUNT / STATUS",IF(C43="Expected","EXPECTED — EXCLUDED",IF(C43="Historical",IF(B43&lt;Setup!$B$6,"HISTORICAL — NO CASH","CHECK HISTORICAL DATE"),IF(OR(B43&lt;Setup!$B$6,B43&gt;Setup!$B$7,AND(D43="Expense",OR(AND(F43&lt;&gt;"A",F43&lt;&gt;"B",F43&lt;&gt;"Checking",F43&lt;&gt;"Savings"),G43&lt;&gt;"Merchant")),AND(D43="Refund",OR(F43&lt;&gt;"Merchant",AND(G43&lt;&gt;"A",G43&lt;&gt;"B",G43&lt;&gt;"Checking",G43&lt;&gt;"Savings"))),AND(D43="Contribution",OR(AND(F43&lt;&gt;"A",F43&lt;&gt;"B"),NOT(OR(G43="Checking",G43="Savings")))),AND(D43="ReturnContribution",OR(NOT(OR(F43="Checking",F43="Savings")),AND(G43&lt;&gt;"A",G43&lt;&gt;"B"))),AND(OR(D43="Settlement",D43="PersonalSupport"),OR(AND(M43&lt;&gt;"A",M43&lt;&gt;"B"),IF(M43="A",G43&lt;&gt;"B",G43&lt;&gt;"A"),AND(NOT(OR(F43="Checking",F43="Savings")),F43&lt;&gt;M43))),AND(OR(D43="InternalTransfer",D43="BoundaryTransfer"),OR(NOT(OR(F43="Checking",F43="Savings")),NOT(OR(G43="Checking",G43="Savings")),F43=G43)),AND(D43&lt;&gt;"Expense",D43&lt;&gt;"Refund",D43&lt;&gt;"Contribution",D43&lt;&gt;"ReturnContribution",D43&lt;&gt;"Settlement",D43&lt;&gt;"PersonalSupport",D43&lt;&gt;"InternalTransfer",D43&lt;&gt;"BoundaryTransfer"),AND(Setup!$B$8="None",OR(OR(F43="Checking",F43="Savings"),OR(G43="Checking",G43="Savings"))),AND(Setup!$B$8="Checking",Setup!$B$23&lt;&gt;"Active",OR(F43="Savings",G43="Savings")),AND(T43=1,MIN(AI43:AJ43)&lt; -0.005),AND(N43="Cash only",D43&lt;&gt;"Expense"),AND(N43="Allocation only",D43&lt;&gt;"Expense")),"CHECK CASH / SCOPE","READY")))))),"CHECK INVALID INPUT")</f>
        <v>UNUSED</v>
      </c>
      <c r="R43" t="str">
        <f>IFERROR(IF(AND(C43="Historical",D43="Expense",OR(IFERROR(INDEX(Agreements!$Z$5:$Z$16,MATCH(H43,Agreements!$A$5:$A$16,0)),"MISSING")&lt;&gt;"READY",B43&lt;IFERROR(INDEX(Agreements!$C$5:$C$16,MATCH(H43,Agreements!$A$5:$A$16,0)),0),B43&gt;IFERROR(INDEX(Agreements!$D$5:$D$16,MATCH(H43,Agreements!$A$5:$A$16,0)),0))),"CHECK HISTORICAL AGREEMENT",IF(AND(C43="Confirmed",D43="Refund",AND(IFERROR(INDEX($C$5:$C$64,MATCH(I43,$A$5:$A$64,0)),"")&lt;&gt;"Confirmed",IFERROR(INDEX($C$5:$C$64,MATCH(I43,$A$5:$A$64,0)),"")&lt;&gt;"Historical")),"CHECK REFUND SOURCE STATUS",IF(COUNTA(A43:P43)=0,"UNUSED",IF(OR(C43="Expected",C43="Historical"),"NOT CURRENT",IF(C43="Disputed","DISPUTED — CLOSE PENDING",IF(N43="Cash only",IF(ABS(BD43-E43)&lt;0.005,"READY","CHECK ALLOCATION TOTAL"),IF(OR(D43="Expense",D43="Refund"),IF(OR(IFERROR(INDEX(Agreements!$Z$5:$Z$16,MATCH(H43,Agreements!$A$5:$A$16,0)),0)&lt;&gt;"READY",AND(D43="Expense",OR(B43&lt;IFERROR(INDEX(Agreements!$C$5:$C$16,MATCH(H43,Agreements!$A$5:$A$16,0)),0),B43&gt;IFERROR(INDEX(Agreements!$D$5:$D$16,MATCH(H43,Agreements!$A$5:$A$16,0)),0))),AND(D43="Refund",OR(IFERROR(INDEX($D$5:$D$64,MATCH(I43,$A$5:$A$64,0)),"")&lt;&gt;"Expense",IFERROR(INDEX($H$5:$H$64,MATCH(I43,$A$5:$A$64,0)),"")&lt;&gt;H43,SUMIFS($E$5:$E$64,$I$5:$I$64,I43,$D$5:$D$64,"Refund",$C$5:$C$64,"&lt;&gt;Expected")&gt;N(IFERROR(INDEX($E$5:$E$64,MATCH(I43,$A$5:$A$64,0)),""))+0.005,I43="")),AND(N43="Allocation only",OR(O43="",IFERROR(INDEX($F$5:$F$64,MATCH(O43,$A$5:$A$64,0)),"")&lt;&gt;F43,IFERROR(INDEX($N$5:$N$64,MATCH(O43,$A$5:$A$64,0)),"")&lt;&gt;"Cash only")),AND(Setup!$B$8="Checking",OR(F43="Savings",G43="Savings"))),"CHECK AGREEMENT / REFUND / SCOPE","READY"),"READY"))))))),"CHECK INVALID INPUT")</f>
        <v>UNUSED</v>
      </c>
      <c r="S43" t="str">
        <f t="shared" si="55"/>
        <v>UNUSED</v>
      </c>
      <c r="T43">
        <f t="shared" si="28"/>
        <v>0</v>
      </c>
      <c r="U43">
        <f t="shared" si="29"/>
        <v>0</v>
      </c>
      <c r="V43">
        <f>IFERROR(MATCH(H43,Agreements!$A$5:$A$16,0),0)</f>
        <v>0</v>
      </c>
      <c r="W43" s="6">
        <f>IF(D43="Refund",IFERROR(INDEX(Agreements!$AA$5:$AA$16,MATCH(IFERROR(INDEX($H$5:$H$64,MATCH(I43,$A$5:$A$64,0)),""),Agreements!$A$5:$A$16,0)),0),IFERROR(INDEX(Agreements!$AA$5:$AA$16,MATCH(H43,Agreements!$A$5:$A$16,0)),0))</f>
        <v>0</v>
      </c>
      <c r="X43" s="3">
        <f t="shared" si="30"/>
        <v>0</v>
      </c>
      <c r="Y43" s="3">
        <f t="shared" si="31"/>
        <v>0</v>
      </c>
      <c r="Z43" s="3">
        <f t="shared" si="32"/>
        <v>0</v>
      </c>
      <c r="AA43" s="3">
        <f t="shared" si="33"/>
        <v>0</v>
      </c>
      <c r="AB43" s="3">
        <f t="shared" si="34"/>
        <v>0</v>
      </c>
      <c r="AC43" s="3">
        <f t="shared" si="35"/>
        <v>0</v>
      </c>
      <c r="AD43" s="3">
        <f t="shared" si="36"/>
        <v>0</v>
      </c>
      <c r="AE43" s="3">
        <f t="shared" si="37"/>
        <v>0</v>
      </c>
      <c r="AF43" s="3">
        <f t="shared" si="38"/>
        <v>0</v>
      </c>
      <c r="AG43" s="3">
        <f t="shared" si="39"/>
        <v>0</v>
      </c>
      <c r="AH43" s="3">
        <f t="shared" si="40"/>
        <v>0</v>
      </c>
      <c r="AI43" s="3">
        <f>N(Setup!$B$12)+SUM(AC$5:AC43)</f>
        <v>0</v>
      </c>
      <c r="AJ43" s="3">
        <f>N(Setup!$B$18)+SUM(AD$5:AD43)</f>
        <v>0</v>
      </c>
      <c r="AK43" s="3">
        <f>N(Setup!$B$13)+SUM(AE$5:AE43)</f>
        <v>0</v>
      </c>
      <c r="AL43" s="3">
        <f>N(Setup!$B$14)+SUM(AF$5:AF43)</f>
        <v>0</v>
      </c>
      <c r="AM43" s="3">
        <f>N(Setup!$B$19)+SUM(AG$5:AG43)</f>
        <v>0</v>
      </c>
      <c r="AN43" s="3">
        <f>N(Setup!$B$20)+SUM(AH$5:AH43)</f>
        <v>0</v>
      </c>
      <c r="AO43" s="3">
        <f t="shared" si="41"/>
        <v>0</v>
      </c>
      <c r="AP43" s="3">
        <f t="shared" si="42"/>
        <v>0</v>
      </c>
      <c r="AQ43" s="3">
        <f t="shared" si="43"/>
        <v>0</v>
      </c>
      <c r="AR43" s="3">
        <f t="shared" si="44"/>
        <v>0</v>
      </c>
      <c r="AS43" s="3">
        <f t="shared" si="45"/>
        <v>0</v>
      </c>
      <c r="AT43" s="3">
        <f t="shared" si="46"/>
        <v>0</v>
      </c>
      <c r="AU43" s="3">
        <f t="shared" si="47"/>
        <v>0</v>
      </c>
      <c r="AV43" s="3">
        <f t="shared" si="48"/>
        <v>0</v>
      </c>
      <c r="AW43" s="3">
        <f t="shared" si="49"/>
        <v>0</v>
      </c>
      <c r="AX43" s="3">
        <f t="shared" si="50"/>
        <v>0</v>
      </c>
      <c r="AY43" s="3">
        <f t="shared" si="51"/>
        <v>0</v>
      </c>
      <c r="AZ43" t="b">
        <f t="shared" si="52"/>
        <v>0</v>
      </c>
      <c r="BA43" t="b">
        <f>OR(AND(F43="Checking",Setup!$B$8&lt;&gt;"None"),AND(F43="Savings",Setup!$B$8="Combined"))</f>
        <v>0</v>
      </c>
      <c r="BB43" t="b">
        <f>OR(AND(G43="Checking",Setup!$B$8&lt;&gt;"None"),AND(G43="Savings",Setup!$B$8="Combined"))</f>
        <v>0</v>
      </c>
      <c r="BC43" t="b">
        <f t="shared" si="53"/>
        <v>0</v>
      </c>
      <c r="BD43" s="3">
        <f t="shared" si="54"/>
        <v>0</v>
      </c>
    </row>
    <row r="44" spans="1:56" ht="63.95" customHeight="1" x14ac:dyDescent="0.25">
      <c r="A44" s="4"/>
      <c r="B44" s="7"/>
      <c r="C44" s="4"/>
      <c r="D44" s="4"/>
      <c r="E44" s="2"/>
      <c r="F44" s="4"/>
      <c r="G44" s="4"/>
      <c r="H44" s="4"/>
      <c r="I44" s="4"/>
      <c r="J44" s="4"/>
      <c r="K44" s="2"/>
      <c r="L44" s="2"/>
      <c r="M44" s="4"/>
      <c r="N44" s="4"/>
      <c r="O44" s="4"/>
      <c r="P44" s="4"/>
      <c r="Q44" t="str">
        <f>IFERROR(IF(AND(T44=1,SUMPRODUCT(--($B$5:B43&gt;B44),$T$5:T43)&gt;0),"CHECK CASH DATE ORDER",IF(COUNTA(A44:P44)=0,"UNUSED",IF(OR(A44="",NOT(ISNUMBER(B44)),NOT(ISNUMBER(E44)),E44&lt;0,COUNTIF($A$5:$A$64,A44)&lt;&gt;1,AND(C44&lt;&gt;"Confirmed",C44&lt;&gt;"Disputed",C44&lt;&gt;"Expected",C44&lt;&gt;"Historical"),AND(N44&lt;&gt;"Cash + allocation",N44&lt;&gt;"Cash only",N44&lt;&gt;"Allocation only"),LEN(TRIM(P44))=0),"CHECK ID / AMOUNT / STATUS",IF(C44="Expected","EXPECTED — EXCLUDED",IF(C44="Historical",IF(B44&lt;Setup!$B$6,"HISTORICAL — NO CASH","CHECK HISTORICAL DATE"),IF(OR(B44&lt;Setup!$B$6,B44&gt;Setup!$B$7,AND(D44="Expense",OR(AND(F44&lt;&gt;"A",F44&lt;&gt;"B",F44&lt;&gt;"Checking",F44&lt;&gt;"Savings"),G44&lt;&gt;"Merchant")),AND(D44="Refund",OR(F44&lt;&gt;"Merchant",AND(G44&lt;&gt;"A",G44&lt;&gt;"B",G44&lt;&gt;"Checking",G44&lt;&gt;"Savings"))),AND(D44="Contribution",OR(AND(F44&lt;&gt;"A",F44&lt;&gt;"B"),NOT(OR(G44="Checking",G44="Savings")))),AND(D44="ReturnContribution",OR(NOT(OR(F44="Checking",F44="Savings")),AND(G44&lt;&gt;"A",G44&lt;&gt;"B"))),AND(OR(D44="Settlement",D44="PersonalSupport"),OR(AND(M44&lt;&gt;"A",M44&lt;&gt;"B"),IF(M44="A",G44&lt;&gt;"B",G44&lt;&gt;"A"),AND(NOT(OR(F44="Checking",F44="Savings")),F44&lt;&gt;M44))),AND(OR(D44="InternalTransfer",D44="BoundaryTransfer"),OR(NOT(OR(F44="Checking",F44="Savings")),NOT(OR(G44="Checking",G44="Savings")),F44=G44)),AND(D44&lt;&gt;"Expense",D44&lt;&gt;"Refund",D44&lt;&gt;"Contribution",D44&lt;&gt;"ReturnContribution",D44&lt;&gt;"Settlement",D44&lt;&gt;"PersonalSupport",D44&lt;&gt;"InternalTransfer",D44&lt;&gt;"BoundaryTransfer"),AND(Setup!$B$8="None",OR(OR(F44="Checking",F44="Savings"),OR(G44="Checking",G44="Savings"))),AND(Setup!$B$8="Checking",Setup!$B$23&lt;&gt;"Active",OR(F44="Savings",G44="Savings")),AND(T44=1,MIN(AI44:AJ44)&lt; -0.005),AND(N44="Cash only",D44&lt;&gt;"Expense"),AND(N44="Allocation only",D44&lt;&gt;"Expense")),"CHECK CASH / SCOPE","READY")))))),"CHECK INVALID INPUT")</f>
        <v>UNUSED</v>
      </c>
      <c r="R44" t="str">
        <f>IFERROR(IF(AND(C44="Historical",D44="Expense",OR(IFERROR(INDEX(Agreements!$Z$5:$Z$16,MATCH(H44,Agreements!$A$5:$A$16,0)),"MISSING")&lt;&gt;"READY",B44&lt;IFERROR(INDEX(Agreements!$C$5:$C$16,MATCH(H44,Agreements!$A$5:$A$16,0)),0),B44&gt;IFERROR(INDEX(Agreements!$D$5:$D$16,MATCH(H44,Agreements!$A$5:$A$16,0)),0))),"CHECK HISTORICAL AGREEMENT",IF(AND(C44="Confirmed",D44="Refund",AND(IFERROR(INDEX($C$5:$C$64,MATCH(I44,$A$5:$A$64,0)),"")&lt;&gt;"Confirmed",IFERROR(INDEX($C$5:$C$64,MATCH(I44,$A$5:$A$64,0)),"")&lt;&gt;"Historical")),"CHECK REFUND SOURCE STATUS",IF(COUNTA(A44:P44)=0,"UNUSED",IF(OR(C44="Expected",C44="Historical"),"NOT CURRENT",IF(C44="Disputed","DISPUTED — CLOSE PENDING",IF(N44="Cash only",IF(ABS(BD44-E44)&lt;0.005,"READY","CHECK ALLOCATION TOTAL"),IF(OR(D44="Expense",D44="Refund"),IF(OR(IFERROR(INDEX(Agreements!$Z$5:$Z$16,MATCH(H44,Agreements!$A$5:$A$16,0)),0)&lt;&gt;"READY",AND(D44="Expense",OR(B44&lt;IFERROR(INDEX(Agreements!$C$5:$C$16,MATCH(H44,Agreements!$A$5:$A$16,0)),0),B44&gt;IFERROR(INDEX(Agreements!$D$5:$D$16,MATCH(H44,Agreements!$A$5:$A$16,0)),0))),AND(D44="Refund",OR(IFERROR(INDEX($D$5:$D$64,MATCH(I44,$A$5:$A$64,0)),"")&lt;&gt;"Expense",IFERROR(INDEX($H$5:$H$64,MATCH(I44,$A$5:$A$64,0)),"")&lt;&gt;H44,SUMIFS($E$5:$E$64,$I$5:$I$64,I44,$D$5:$D$64,"Refund",$C$5:$C$64,"&lt;&gt;Expected")&gt;N(IFERROR(INDEX($E$5:$E$64,MATCH(I44,$A$5:$A$64,0)),""))+0.005,I44="")),AND(N44="Allocation only",OR(O44="",IFERROR(INDEX($F$5:$F$64,MATCH(O44,$A$5:$A$64,0)),"")&lt;&gt;F44,IFERROR(INDEX($N$5:$N$64,MATCH(O44,$A$5:$A$64,0)),"")&lt;&gt;"Cash only")),AND(Setup!$B$8="Checking",OR(F44="Savings",G44="Savings"))),"CHECK AGREEMENT / REFUND / SCOPE","READY"),"READY"))))))),"CHECK INVALID INPUT")</f>
        <v>UNUSED</v>
      </c>
      <c r="S44" t="str">
        <f t="shared" si="55"/>
        <v>UNUSED</v>
      </c>
      <c r="T44">
        <f t="shared" si="28"/>
        <v>0</v>
      </c>
      <c r="U44">
        <f t="shared" si="29"/>
        <v>0</v>
      </c>
      <c r="V44">
        <f>IFERROR(MATCH(H44,Agreements!$A$5:$A$16,0),0)</f>
        <v>0</v>
      </c>
      <c r="W44" s="6">
        <f>IF(D44="Refund",IFERROR(INDEX(Agreements!$AA$5:$AA$16,MATCH(IFERROR(INDEX($H$5:$H$64,MATCH(I44,$A$5:$A$64,0)),""),Agreements!$A$5:$A$16,0)),0),IFERROR(INDEX(Agreements!$AA$5:$AA$16,MATCH(H44,Agreements!$A$5:$A$16,0)),0))</f>
        <v>0</v>
      </c>
      <c r="X44" s="3">
        <f t="shared" si="30"/>
        <v>0</v>
      </c>
      <c r="Y44" s="3">
        <f t="shared" si="31"/>
        <v>0</v>
      </c>
      <c r="Z44" s="3">
        <f t="shared" si="32"/>
        <v>0</v>
      </c>
      <c r="AA44" s="3">
        <f t="shared" si="33"/>
        <v>0</v>
      </c>
      <c r="AB44" s="3">
        <f t="shared" si="34"/>
        <v>0</v>
      </c>
      <c r="AC44" s="3">
        <f t="shared" si="35"/>
        <v>0</v>
      </c>
      <c r="AD44" s="3">
        <f t="shared" si="36"/>
        <v>0</v>
      </c>
      <c r="AE44" s="3">
        <f t="shared" si="37"/>
        <v>0</v>
      </c>
      <c r="AF44" s="3">
        <f t="shared" si="38"/>
        <v>0</v>
      </c>
      <c r="AG44" s="3">
        <f t="shared" si="39"/>
        <v>0</v>
      </c>
      <c r="AH44" s="3">
        <f t="shared" si="40"/>
        <v>0</v>
      </c>
      <c r="AI44" s="3">
        <f>N(Setup!$B$12)+SUM(AC$5:AC44)</f>
        <v>0</v>
      </c>
      <c r="AJ44" s="3">
        <f>N(Setup!$B$18)+SUM(AD$5:AD44)</f>
        <v>0</v>
      </c>
      <c r="AK44" s="3">
        <f>N(Setup!$B$13)+SUM(AE$5:AE44)</f>
        <v>0</v>
      </c>
      <c r="AL44" s="3">
        <f>N(Setup!$B$14)+SUM(AF$5:AF44)</f>
        <v>0</v>
      </c>
      <c r="AM44" s="3">
        <f>N(Setup!$B$19)+SUM(AG$5:AG44)</f>
        <v>0</v>
      </c>
      <c r="AN44" s="3">
        <f>N(Setup!$B$20)+SUM(AH$5:AH44)</f>
        <v>0</v>
      </c>
      <c r="AO44" s="3">
        <f t="shared" si="41"/>
        <v>0</v>
      </c>
      <c r="AP44" s="3">
        <f t="shared" si="42"/>
        <v>0</v>
      </c>
      <c r="AQ44" s="3">
        <f t="shared" si="43"/>
        <v>0</v>
      </c>
      <c r="AR44" s="3">
        <f t="shared" si="44"/>
        <v>0</v>
      </c>
      <c r="AS44" s="3">
        <f t="shared" si="45"/>
        <v>0</v>
      </c>
      <c r="AT44" s="3">
        <f t="shared" si="46"/>
        <v>0</v>
      </c>
      <c r="AU44" s="3">
        <f t="shared" si="47"/>
        <v>0</v>
      </c>
      <c r="AV44" s="3">
        <f t="shared" si="48"/>
        <v>0</v>
      </c>
      <c r="AW44" s="3">
        <f t="shared" si="49"/>
        <v>0</v>
      </c>
      <c r="AX44" s="3">
        <f t="shared" si="50"/>
        <v>0</v>
      </c>
      <c r="AY44" s="3">
        <f t="shared" si="51"/>
        <v>0</v>
      </c>
      <c r="AZ44" t="b">
        <f t="shared" si="52"/>
        <v>0</v>
      </c>
      <c r="BA44" t="b">
        <f>OR(AND(F44="Checking",Setup!$B$8&lt;&gt;"None"),AND(F44="Savings",Setup!$B$8="Combined"))</f>
        <v>0</v>
      </c>
      <c r="BB44" t="b">
        <f>OR(AND(G44="Checking",Setup!$B$8&lt;&gt;"None"),AND(G44="Savings",Setup!$B$8="Combined"))</f>
        <v>0</v>
      </c>
      <c r="BC44" t="b">
        <f t="shared" si="53"/>
        <v>0</v>
      </c>
      <c r="BD44" s="3">
        <f t="shared" si="54"/>
        <v>0</v>
      </c>
    </row>
    <row r="45" spans="1:56" ht="63.95" customHeight="1" x14ac:dyDescent="0.25">
      <c r="A45" s="4"/>
      <c r="B45" s="7"/>
      <c r="C45" s="4"/>
      <c r="D45" s="4"/>
      <c r="E45" s="2"/>
      <c r="F45" s="4"/>
      <c r="G45" s="4"/>
      <c r="H45" s="4"/>
      <c r="I45" s="4"/>
      <c r="J45" s="4"/>
      <c r="K45" s="2"/>
      <c r="L45" s="2"/>
      <c r="M45" s="4"/>
      <c r="N45" s="4"/>
      <c r="O45" s="4"/>
      <c r="P45" s="4"/>
      <c r="Q45" t="str">
        <f>IFERROR(IF(AND(T45=1,SUMPRODUCT(--($B$5:B44&gt;B45),$T$5:T44)&gt;0),"CHECK CASH DATE ORDER",IF(COUNTA(A45:P45)=0,"UNUSED",IF(OR(A45="",NOT(ISNUMBER(B45)),NOT(ISNUMBER(E45)),E45&lt;0,COUNTIF($A$5:$A$64,A45)&lt;&gt;1,AND(C45&lt;&gt;"Confirmed",C45&lt;&gt;"Disputed",C45&lt;&gt;"Expected",C45&lt;&gt;"Historical"),AND(N45&lt;&gt;"Cash + allocation",N45&lt;&gt;"Cash only",N45&lt;&gt;"Allocation only"),LEN(TRIM(P45))=0),"CHECK ID / AMOUNT / STATUS",IF(C45="Expected","EXPECTED — EXCLUDED",IF(C45="Historical",IF(B45&lt;Setup!$B$6,"HISTORICAL — NO CASH","CHECK HISTORICAL DATE"),IF(OR(B45&lt;Setup!$B$6,B45&gt;Setup!$B$7,AND(D45="Expense",OR(AND(F45&lt;&gt;"A",F45&lt;&gt;"B",F45&lt;&gt;"Checking",F45&lt;&gt;"Savings"),G45&lt;&gt;"Merchant")),AND(D45="Refund",OR(F45&lt;&gt;"Merchant",AND(G45&lt;&gt;"A",G45&lt;&gt;"B",G45&lt;&gt;"Checking",G45&lt;&gt;"Savings"))),AND(D45="Contribution",OR(AND(F45&lt;&gt;"A",F45&lt;&gt;"B"),NOT(OR(G45="Checking",G45="Savings")))),AND(D45="ReturnContribution",OR(NOT(OR(F45="Checking",F45="Savings")),AND(G45&lt;&gt;"A",G45&lt;&gt;"B"))),AND(OR(D45="Settlement",D45="PersonalSupport"),OR(AND(M45&lt;&gt;"A",M45&lt;&gt;"B"),IF(M45="A",G45&lt;&gt;"B",G45&lt;&gt;"A"),AND(NOT(OR(F45="Checking",F45="Savings")),F45&lt;&gt;M45))),AND(OR(D45="InternalTransfer",D45="BoundaryTransfer"),OR(NOT(OR(F45="Checking",F45="Savings")),NOT(OR(G45="Checking",G45="Savings")),F45=G45)),AND(D45&lt;&gt;"Expense",D45&lt;&gt;"Refund",D45&lt;&gt;"Contribution",D45&lt;&gt;"ReturnContribution",D45&lt;&gt;"Settlement",D45&lt;&gt;"PersonalSupport",D45&lt;&gt;"InternalTransfer",D45&lt;&gt;"BoundaryTransfer"),AND(Setup!$B$8="None",OR(OR(F45="Checking",F45="Savings"),OR(G45="Checking",G45="Savings"))),AND(Setup!$B$8="Checking",Setup!$B$23&lt;&gt;"Active",OR(F45="Savings",G45="Savings")),AND(T45=1,MIN(AI45:AJ45)&lt; -0.005),AND(N45="Cash only",D45&lt;&gt;"Expense"),AND(N45="Allocation only",D45&lt;&gt;"Expense")),"CHECK CASH / SCOPE","READY")))))),"CHECK INVALID INPUT")</f>
        <v>UNUSED</v>
      </c>
      <c r="R45" t="str">
        <f>IFERROR(IF(AND(C45="Historical",D45="Expense",OR(IFERROR(INDEX(Agreements!$Z$5:$Z$16,MATCH(H45,Agreements!$A$5:$A$16,0)),"MISSING")&lt;&gt;"READY",B45&lt;IFERROR(INDEX(Agreements!$C$5:$C$16,MATCH(H45,Agreements!$A$5:$A$16,0)),0),B45&gt;IFERROR(INDEX(Agreements!$D$5:$D$16,MATCH(H45,Agreements!$A$5:$A$16,0)),0))),"CHECK HISTORICAL AGREEMENT",IF(AND(C45="Confirmed",D45="Refund",AND(IFERROR(INDEX($C$5:$C$64,MATCH(I45,$A$5:$A$64,0)),"")&lt;&gt;"Confirmed",IFERROR(INDEX($C$5:$C$64,MATCH(I45,$A$5:$A$64,0)),"")&lt;&gt;"Historical")),"CHECK REFUND SOURCE STATUS",IF(COUNTA(A45:P45)=0,"UNUSED",IF(OR(C45="Expected",C45="Historical"),"NOT CURRENT",IF(C45="Disputed","DISPUTED — CLOSE PENDING",IF(N45="Cash only",IF(ABS(BD45-E45)&lt;0.005,"READY","CHECK ALLOCATION TOTAL"),IF(OR(D45="Expense",D45="Refund"),IF(OR(IFERROR(INDEX(Agreements!$Z$5:$Z$16,MATCH(H45,Agreements!$A$5:$A$16,0)),0)&lt;&gt;"READY",AND(D45="Expense",OR(B45&lt;IFERROR(INDEX(Agreements!$C$5:$C$16,MATCH(H45,Agreements!$A$5:$A$16,0)),0),B45&gt;IFERROR(INDEX(Agreements!$D$5:$D$16,MATCH(H45,Agreements!$A$5:$A$16,0)),0))),AND(D45="Refund",OR(IFERROR(INDEX($D$5:$D$64,MATCH(I45,$A$5:$A$64,0)),"")&lt;&gt;"Expense",IFERROR(INDEX($H$5:$H$64,MATCH(I45,$A$5:$A$64,0)),"")&lt;&gt;H45,SUMIFS($E$5:$E$64,$I$5:$I$64,I45,$D$5:$D$64,"Refund",$C$5:$C$64,"&lt;&gt;Expected")&gt;N(IFERROR(INDEX($E$5:$E$64,MATCH(I45,$A$5:$A$64,0)),""))+0.005,I45="")),AND(N45="Allocation only",OR(O45="",IFERROR(INDEX($F$5:$F$64,MATCH(O45,$A$5:$A$64,0)),"")&lt;&gt;F45,IFERROR(INDEX($N$5:$N$64,MATCH(O45,$A$5:$A$64,0)),"")&lt;&gt;"Cash only")),AND(Setup!$B$8="Checking",OR(F45="Savings",G45="Savings"))),"CHECK AGREEMENT / REFUND / SCOPE","READY"),"READY"))))))),"CHECK INVALID INPUT")</f>
        <v>UNUSED</v>
      </c>
      <c r="S45" t="str">
        <f t="shared" si="55"/>
        <v>UNUSED</v>
      </c>
      <c r="T45">
        <f t="shared" si="28"/>
        <v>0</v>
      </c>
      <c r="U45">
        <f t="shared" si="29"/>
        <v>0</v>
      </c>
      <c r="V45">
        <f>IFERROR(MATCH(H45,Agreements!$A$5:$A$16,0),0)</f>
        <v>0</v>
      </c>
      <c r="W45" s="6">
        <f>IF(D45="Refund",IFERROR(INDEX(Agreements!$AA$5:$AA$16,MATCH(IFERROR(INDEX($H$5:$H$64,MATCH(I45,$A$5:$A$64,0)),""),Agreements!$A$5:$A$16,0)),0),IFERROR(INDEX(Agreements!$AA$5:$AA$16,MATCH(H45,Agreements!$A$5:$A$16,0)),0))</f>
        <v>0</v>
      </c>
      <c r="X45" s="3">
        <f t="shared" si="30"/>
        <v>0</v>
      </c>
      <c r="Y45" s="3">
        <f t="shared" si="31"/>
        <v>0</v>
      </c>
      <c r="Z45" s="3">
        <f t="shared" si="32"/>
        <v>0</v>
      </c>
      <c r="AA45" s="3">
        <f t="shared" si="33"/>
        <v>0</v>
      </c>
      <c r="AB45" s="3">
        <f t="shared" si="34"/>
        <v>0</v>
      </c>
      <c r="AC45" s="3">
        <f t="shared" si="35"/>
        <v>0</v>
      </c>
      <c r="AD45" s="3">
        <f t="shared" si="36"/>
        <v>0</v>
      </c>
      <c r="AE45" s="3">
        <f t="shared" si="37"/>
        <v>0</v>
      </c>
      <c r="AF45" s="3">
        <f t="shared" si="38"/>
        <v>0</v>
      </c>
      <c r="AG45" s="3">
        <f t="shared" si="39"/>
        <v>0</v>
      </c>
      <c r="AH45" s="3">
        <f t="shared" si="40"/>
        <v>0</v>
      </c>
      <c r="AI45" s="3">
        <f>N(Setup!$B$12)+SUM(AC$5:AC45)</f>
        <v>0</v>
      </c>
      <c r="AJ45" s="3">
        <f>N(Setup!$B$18)+SUM(AD$5:AD45)</f>
        <v>0</v>
      </c>
      <c r="AK45" s="3">
        <f>N(Setup!$B$13)+SUM(AE$5:AE45)</f>
        <v>0</v>
      </c>
      <c r="AL45" s="3">
        <f>N(Setup!$B$14)+SUM(AF$5:AF45)</f>
        <v>0</v>
      </c>
      <c r="AM45" s="3">
        <f>N(Setup!$B$19)+SUM(AG$5:AG45)</f>
        <v>0</v>
      </c>
      <c r="AN45" s="3">
        <f>N(Setup!$B$20)+SUM(AH$5:AH45)</f>
        <v>0</v>
      </c>
      <c r="AO45" s="3">
        <f t="shared" si="41"/>
        <v>0</v>
      </c>
      <c r="AP45" s="3">
        <f t="shared" si="42"/>
        <v>0</v>
      </c>
      <c r="AQ45" s="3">
        <f t="shared" si="43"/>
        <v>0</v>
      </c>
      <c r="AR45" s="3">
        <f t="shared" si="44"/>
        <v>0</v>
      </c>
      <c r="AS45" s="3">
        <f t="shared" si="45"/>
        <v>0</v>
      </c>
      <c r="AT45" s="3">
        <f t="shared" si="46"/>
        <v>0</v>
      </c>
      <c r="AU45" s="3">
        <f t="shared" si="47"/>
        <v>0</v>
      </c>
      <c r="AV45" s="3">
        <f t="shared" si="48"/>
        <v>0</v>
      </c>
      <c r="AW45" s="3">
        <f t="shared" si="49"/>
        <v>0</v>
      </c>
      <c r="AX45" s="3">
        <f t="shared" si="50"/>
        <v>0</v>
      </c>
      <c r="AY45" s="3">
        <f t="shared" si="51"/>
        <v>0</v>
      </c>
      <c r="AZ45" t="b">
        <f t="shared" si="52"/>
        <v>0</v>
      </c>
      <c r="BA45" t="b">
        <f>OR(AND(F45="Checking",Setup!$B$8&lt;&gt;"None"),AND(F45="Savings",Setup!$B$8="Combined"))</f>
        <v>0</v>
      </c>
      <c r="BB45" t="b">
        <f>OR(AND(G45="Checking",Setup!$B$8&lt;&gt;"None"),AND(G45="Savings",Setup!$B$8="Combined"))</f>
        <v>0</v>
      </c>
      <c r="BC45" t="b">
        <f t="shared" si="53"/>
        <v>0</v>
      </c>
      <c r="BD45" s="3">
        <f t="shared" si="54"/>
        <v>0</v>
      </c>
    </row>
    <row r="46" spans="1:56" ht="63.95" customHeight="1" x14ac:dyDescent="0.25">
      <c r="A46" s="4"/>
      <c r="B46" s="7"/>
      <c r="C46" s="4"/>
      <c r="D46" s="4"/>
      <c r="E46" s="2"/>
      <c r="F46" s="4"/>
      <c r="G46" s="4"/>
      <c r="H46" s="4"/>
      <c r="I46" s="4"/>
      <c r="J46" s="4"/>
      <c r="K46" s="2"/>
      <c r="L46" s="2"/>
      <c r="M46" s="4"/>
      <c r="N46" s="4"/>
      <c r="O46" s="4"/>
      <c r="P46" s="4"/>
      <c r="Q46" t="str">
        <f>IFERROR(IF(AND(T46=1,SUMPRODUCT(--($B$5:B45&gt;B46),$T$5:T45)&gt;0),"CHECK CASH DATE ORDER",IF(COUNTA(A46:P46)=0,"UNUSED",IF(OR(A46="",NOT(ISNUMBER(B46)),NOT(ISNUMBER(E46)),E46&lt;0,COUNTIF($A$5:$A$64,A46)&lt;&gt;1,AND(C46&lt;&gt;"Confirmed",C46&lt;&gt;"Disputed",C46&lt;&gt;"Expected",C46&lt;&gt;"Historical"),AND(N46&lt;&gt;"Cash + allocation",N46&lt;&gt;"Cash only",N46&lt;&gt;"Allocation only"),LEN(TRIM(P46))=0),"CHECK ID / AMOUNT / STATUS",IF(C46="Expected","EXPECTED — EXCLUDED",IF(C46="Historical",IF(B46&lt;Setup!$B$6,"HISTORICAL — NO CASH","CHECK HISTORICAL DATE"),IF(OR(B46&lt;Setup!$B$6,B46&gt;Setup!$B$7,AND(D46="Expense",OR(AND(F46&lt;&gt;"A",F46&lt;&gt;"B",F46&lt;&gt;"Checking",F46&lt;&gt;"Savings"),G46&lt;&gt;"Merchant")),AND(D46="Refund",OR(F46&lt;&gt;"Merchant",AND(G46&lt;&gt;"A",G46&lt;&gt;"B",G46&lt;&gt;"Checking",G46&lt;&gt;"Savings"))),AND(D46="Contribution",OR(AND(F46&lt;&gt;"A",F46&lt;&gt;"B"),NOT(OR(G46="Checking",G46="Savings")))),AND(D46="ReturnContribution",OR(NOT(OR(F46="Checking",F46="Savings")),AND(G46&lt;&gt;"A",G46&lt;&gt;"B"))),AND(OR(D46="Settlement",D46="PersonalSupport"),OR(AND(M46&lt;&gt;"A",M46&lt;&gt;"B"),IF(M46="A",G46&lt;&gt;"B",G46&lt;&gt;"A"),AND(NOT(OR(F46="Checking",F46="Savings")),F46&lt;&gt;M46))),AND(OR(D46="InternalTransfer",D46="BoundaryTransfer"),OR(NOT(OR(F46="Checking",F46="Savings")),NOT(OR(G46="Checking",G46="Savings")),F46=G46)),AND(D46&lt;&gt;"Expense",D46&lt;&gt;"Refund",D46&lt;&gt;"Contribution",D46&lt;&gt;"ReturnContribution",D46&lt;&gt;"Settlement",D46&lt;&gt;"PersonalSupport",D46&lt;&gt;"InternalTransfer",D46&lt;&gt;"BoundaryTransfer"),AND(Setup!$B$8="None",OR(OR(F46="Checking",F46="Savings"),OR(G46="Checking",G46="Savings"))),AND(Setup!$B$8="Checking",Setup!$B$23&lt;&gt;"Active",OR(F46="Savings",G46="Savings")),AND(T46=1,MIN(AI46:AJ46)&lt; -0.005),AND(N46="Cash only",D46&lt;&gt;"Expense"),AND(N46="Allocation only",D46&lt;&gt;"Expense")),"CHECK CASH / SCOPE","READY")))))),"CHECK INVALID INPUT")</f>
        <v>UNUSED</v>
      </c>
      <c r="R46" t="str">
        <f>IFERROR(IF(AND(C46="Historical",D46="Expense",OR(IFERROR(INDEX(Agreements!$Z$5:$Z$16,MATCH(H46,Agreements!$A$5:$A$16,0)),"MISSING")&lt;&gt;"READY",B46&lt;IFERROR(INDEX(Agreements!$C$5:$C$16,MATCH(H46,Agreements!$A$5:$A$16,0)),0),B46&gt;IFERROR(INDEX(Agreements!$D$5:$D$16,MATCH(H46,Agreements!$A$5:$A$16,0)),0))),"CHECK HISTORICAL AGREEMENT",IF(AND(C46="Confirmed",D46="Refund",AND(IFERROR(INDEX($C$5:$C$64,MATCH(I46,$A$5:$A$64,0)),"")&lt;&gt;"Confirmed",IFERROR(INDEX($C$5:$C$64,MATCH(I46,$A$5:$A$64,0)),"")&lt;&gt;"Historical")),"CHECK REFUND SOURCE STATUS",IF(COUNTA(A46:P46)=0,"UNUSED",IF(OR(C46="Expected",C46="Historical"),"NOT CURRENT",IF(C46="Disputed","DISPUTED — CLOSE PENDING",IF(N46="Cash only",IF(ABS(BD46-E46)&lt;0.005,"READY","CHECK ALLOCATION TOTAL"),IF(OR(D46="Expense",D46="Refund"),IF(OR(IFERROR(INDEX(Agreements!$Z$5:$Z$16,MATCH(H46,Agreements!$A$5:$A$16,0)),0)&lt;&gt;"READY",AND(D46="Expense",OR(B46&lt;IFERROR(INDEX(Agreements!$C$5:$C$16,MATCH(H46,Agreements!$A$5:$A$16,0)),0),B46&gt;IFERROR(INDEX(Agreements!$D$5:$D$16,MATCH(H46,Agreements!$A$5:$A$16,0)),0))),AND(D46="Refund",OR(IFERROR(INDEX($D$5:$D$64,MATCH(I46,$A$5:$A$64,0)),"")&lt;&gt;"Expense",IFERROR(INDEX($H$5:$H$64,MATCH(I46,$A$5:$A$64,0)),"")&lt;&gt;H46,SUMIFS($E$5:$E$64,$I$5:$I$64,I46,$D$5:$D$64,"Refund",$C$5:$C$64,"&lt;&gt;Expected")&gt;N(IFERROR(INDEX($E$5:$E$64,MATCH(I46,$A$5:$A$64,0)),""))+0.005,I46="")),AND(N46="Allocation only",OR(O46="",IFERROR(INDEX($F$5:$F$64,MATCH(O46,$A$5:$A$64,0)),"")&lt;&gt;F46,IFERROR(INDEX($N$5:$N$64,MATCH(O46,$A$5:$A$64,0)),"")&lt;&gt;"Cash only")),AND(Setup!$B$8="Checking",OR(F46="Savings",G46="Savings"))),"CHECK AGREEMENT / REFUND / SCOPE","READY"),"READY"))))))),"CHECK INVALID INPUT")</f>
        <v>UNUSED</v>
      </c>
      <c r="S46" t="str">
        <f t="shared" si="55"/>
        <v>UNUSED</v>
      </c>
      <c r="T46">
        <f t="shared" si="28"/>
        <v>0</v>
      </c>
      <c r="U46">
        <f t="shared" si="29"/>
        <v>0</v>
      </c>
      <c r="V46">
        <f>IFERROR(MATCH(H46,Agreements!$A$5:$A$16,0),0)</f>
        <v>0</v>
      </c>
      <c r="W46" s="6">
        <f>IF(D46="Refund",IFERROR(INDEX(Agreements!$AA$5:$AA$16,MATCH(IFERROR(INDEX($H$5:$H$64,MATCH(I46,$A$5:$A$64,0)),""),Agreements!$A$5:$A$16,0)),0),IFERROR(INDEX(Agreements!$AA$5:$AA$16,MATCH(H46,Agreements!$A$5:$A$16,0)),0))</f>
        <v>0</v>
      </c>
      <c r="X46" s="3">
        <f t="shared" si="30"/>
        <v>0</v>
      </c>
      <c r="Y46" s="3">
        <f t="shared" si="31"/>
        <v>0</v>
      </c>
      <c r="Z46" s="3">
        <f t="shared" si="32"/>
        <v>0</v>
      </c>
      <c r="AA46" s="3">
        <f t="shared" si="33"/>
        <v>0</v>
      </c>
      <c r="AB46" s="3">
        <f t="shared" si="34"/>
        <v>0</v>
      </c>
      <c r="AC46" s="3">
        <f t="shared" si="35"/>
        <v>0</v>
      </c>
      <c r="AD46" s="3">
        <f t="shared" si="36"/>
        <v>0</v>
      </c>
      <c r="AE46" s="3">
        <f t="shared" si="37"/>
        <v>0</v>
      </c>
      <c r="AF46" s="3">
        <f t="shared" si="38"/>
        <v>0</v>
      </c>
      <c r="AG46" s="3">
        <f t="shared" si="39"/>
        <v>0</v>
      </c>
      <c r="AH46" s="3">
        <f t="shared" si="40"/>
        <v>0</v>
      </c>
      <c r="AI46" s="3">
        <f>N(Setup!$B$12)+SUM(AC$5:AC46)</f>
        <v>0</v>
      </c>
      <c r="AJ46" s="3">
        <f>N(Setup!$B$18)+SUM(AD$5:AD46)</f>
        <v>0</v>
      </c>
      <c r="AK46" s="3">
        <f>N(Setup!$B$13)+SUM(AE$5:AE46)</f>
        <v>0</v>
      </c>
      <c r="AL46" s="3">
        <f>N(Setup!$B$14)+SUM(AF$5:AF46)</f>
        <v>0</v>
      </c>
      <c r="AM46" s="3">
        <f>N(Setup!$B$19)+SUM(AG$5:AG46)</f>
        <v>0</v>
      </c>
      <c r="AN46" s="3">
        <f>N(Setup!$B$20)+SUM(AH$5:AH46)</f>
        <v>0</v>
      </c>
      <c r="AO46" s="3">
        <f t="shared" si="41"/>
        <v>0</v>
      </c>
      <c r="AP46" s="3">
        <f t="shared" si="42"/>
        <v>0</v>
      </c>
      <c r="AQ46" s="3">
        <f t="shared" si="43"/>
        <v>0</v>
      </c>
      <c r="AR46" s="3">
        <f t="shared" si="44"/>
        <v>0</v>
      </c>
      <c r="AS46" s="3">
        <f t="shared" si="45"/>
        <v>0</v>
      </c>
      <c r="AT46" s="3">
        <f t="shared" si="46"/>
        <v>0</v>
      </c>
      <c r="AU46" s="3">
        <f t="shared" si="47"/>
        <v>0</v>
      </c>
      <c r="AV46" s="3">
        <f t="shared" si="48"/>
        <v>0</v>
      </c>
      <c r="AW46" s="3">
        <f t="shared" si="49"/>
        <v>0</v>
      </c>
      <c r="AX46" s="3">
        <f t="shared" si="50"/>
        <v>0</v>
      </c>
      <c r="AY46" s="3">
        <f t="shared" si="51"/>
        <v>0</v>
      </c>
      <c r="AZ46" t="b">
        <f t="shared" si="52"/>
        <v>0</v>
      </c>
      <c r="BA46" t="b">
        <f>OR(AND(F46="Checking",Setup!$B$8&lt;&gt;"None"),AND(F46="Savings",Setup!$B$8="Combined"))</f>
        <v>0</v>
      </c>
      <c r="BB46" t="b">
        <f>OR(AND(G46="Checking",Setup!$B$8&lt;&gt;"None"),AND(G46="Savings",Setup!$B$8="Combined"))</f>
        <v>0</v>
      </c>
      <c r="BC46" t="b">
        <f t="shared" si="53"/>
        <v>0</v>
      </c>
      <c r="BD46" s="3">
        <f t="shared" si="54"/>
        <v>0</v>
      </c>
    </row>
    <row r="47" spans="1:56" ht="63.95" customHeight="1" x14ac:dyDescent="0.25">
      <c r="A47" s="4"/>
      <c r="B47" s="7"/>
      <c r="C47" s="4"/>
      <c r="D47" s="4"/>
      <c r="E47" s="2"/>
      <c r="F47" s="4"/>
      <c r="G47" s="4"/>
      <c r="H47" s="4"/>
      <c r="I47" s="4"/>
      <c r="J47" s="4"/>
      <c r="K47" s="2"/>
      <c r="L47" s="2"/>
      <c r="M47" s="4"/>
      <c r="N47" s="4"/>
      <c r="O47" s="4"/>
      <c r="P47" s="4"/>
      <c r="Q47" t="str">
        <f>IFERROR(IF(AND(T47=1,SUMPRODUCT(--($B$5:B46&gt;B47),$T$5:T46)&gt;0),"CHECK CASH DATE ORDER",IF(COUNTA(A47:P47)=0,"UNUSED",IF(OR(A47="",NOT(ISNUMBER(B47)),NOT(ISNUMBER(E47)),E47&lt;0,COUNTIF($A$5:$A$64,A47)&lt;&gt;1,AND(C47&lt;&gt;"Confirmed",C47&lt;&gt;"Disputed",C47&lt;&gt;"Expected",C47&lt;&gt;"Historical"),AND(N47&lt;&gt;"Cash + allocation",N47&lt;&gt;"Cash only",N47&lt;&gt;"Allocation only"),LEN(TRIM(P47))=0),"CHECK ID / AMOUNT / STATUS",IF(C47="Expected","EXPECTED — EXCLUDED",IF(C47="Historical",IF(B47&lt;Setup!$B$6,"HISTORICAL — NO CASH","CHECK HISTORICAL DATE"),IF(OR(B47&lt;Setup!$B$6,B47&gt;Setup!$B$7,AND(D47="Expense",OR(AND(F47&lt;&gt;"A",F47&lt;&gt;"B",F47&lt;&gt;"Checking",F47&lt;&gt;"Savings"),G47&lt;&gt;"Merchant")),AND(D47="Refund",OR(F47&lt;&gt;"Merchant",AND(G47&lt;&gt;"A",G47&lt;&gt;"B",G47&lt;&gt;"Checking",G47&lt;&gt;"Savings"))),AND(D47="Contribution",OR(AND(F47&lt;&gt;"A",F47&lt;&gt;"B"),NOT(OR(G47="Checking",G47="Savings")))),AND(D47="ReturnContribution",OR(NOT(OR(F47="Checking",F47="Savings")),AND(G47&lt;&gt;"A",G47&lt;&gt;"B"))),AND(OR(D47="Settlement",D47="PersonalSupport"),OR(AND(M47&lt;&gt;"A",M47&lt;&gt;"B"),IF(M47="A",G47&lt;&gt;"B",G47&lt;&gt;"A"),AND(NOT(OR(F47="Checking",F47="Savings")),F47&lt;&gt;M47))),AND(OR(D47="InternalTransfer",D47="BoundaryTransfer"),OR(NOT(OR(F47="Checking",F47="Savings")),NOT(OR(G47="Checking",G47="Savings")),F47=G47)),AND(D47&lt;&gt;"Expense",D47&lt;&gt;"Refund",D47&lt;&gt;"Contribution",D47&lt;&gt;"ReturnContribution",D47&lt;&gt;"Settlement",D47&lt;&gt;"PersonalSupport",D47&lt;&gt;"InternalTransfer",D47&lt;&gt;"BoundaryTransfer"),AND(Setup!$B$8="None",OR(OR(F47="Checking",F47="Savings"),OR(G47="Checking",G47="Savings"))),AND(Setup!$B$8="Checking",Setup!$B$23&lt;&gt;"Active",OR(F47="Savings",G47="Savings")),AND(T47=1,MIN(AI47:AJ47)&lt; -0.005),AND(N47="Cash only",D47&lt;&gt;"Expense"),AND(N47="Allocation only",D47&lt;&gt;"Expense")),"CHECK CASH / SCOPE","READY")))))),"CHECK INVALID INPUT")</f>
        <v>UNUSED</v>
      </c>
      <c r="R47" t="str">
        <f>IFERROR(IF(AND(C47="Historical",D47="Expense",OR(IFERROR(INDEX(Agreements!$Z$5:$Z$16,MATCH(H47,Agreements!$A$5:$A$16,0)),"MISSING")&lt;&gt;"READY",B47&lt;IFERROR(INDEX(Agreements!$C$5:$C$16,MATCH(H47,Agreements!$A$5:$A$16,0)),0),B47&gt;IFERROR(INDEX(Agreements!$D$5:$D$16,MATCH(H47,Agreements!$A$5:$A$16,0)),0))),"CHECK HISTORICAL AGREEMENT",IF(AND(C47="Confirmed",D47="Refund",AND(IFERROR(INDEX($C$5:$C$64,MATCH(I47,$A$5:$A$64,0)),"")&lt;&gt;"Confirmed",IFERROR(INDEX($C$5:$C$64,MATCH(I47,$A$5:$A$64,0)),"")&lt;&gt;"Historical")),"CHECK REFUND SOURCE STATUS",IF(COUNTA(A47:P47)=0,"UNUSED",IF(OR(C47="Expected",C47="Historical"),"NOT CURRENT",IF(C47="Disputed","DISPUTED — CLOSE PENDING",IF(N47="Cash only",IF(ABS(BD47-E47)&lt;0.005,"READY","CHECK ALLOCATION TOTAL"),IF(OR(D47="Expense",D47="Refund"),IF(OR(IFERROR(INDEX(Agreements!$Z$5:$Z$16,MATCH(H47,Agreements!$A$5:$A$16,0)),0)&lt;&gt;"READY",AND(D47="Expense",OR(B47&lt;IFERROR(INDEX(Agreements!$C$5:$C$16,MATCH(H47,Agreements!$A$5:$A$16,0)),0),B47&gt;IFERROR(INDEX(Agreements!$D$5:$D$16,MATCH(H47,Agreements!$A$5:$A$16,0)),0))),AND(D47="Refund",OR(IFERROR(INDEX($D$5:$D$64,MATCH(I47,$A$5:$A$64,0)),"")&lt;&gt;"Expense",IFERROR(INDEX($H$5:$H$64,MATCH(I47,$A$5:$A$64,0)),"")&lt;&gt;H47,SUMIFS($E$5:$E$64,$I$5:$I$64,I47,$D$5:$D$64,"Refund",$C$5:$C$64,"&lt;&gt;Expected")&gt;N(IFERROR(INDEX($E$5:$E$64,MATCH(I47,$A$5:$A$64,0)),""))+0.005,I47="")),AND(N47="Allocation only",OR(O47="",IFERROR(INDEX($F$5:$F$64,MATCH(O47,$A$5:$A$64,0)),"")&lt;&gt;F47,IFERROR(INDEX($N$5:$N$64,MATCH(O47,$A$5:$A$64,0)),"")&lt;&gt;"Cash only")),AND(Setup!$B$8="Checking",OR(F47="Savings",G47="Savings"))),"CHECK AGREEMENT / REFUND / SCOPE","READY"),"READY"))))))),"CHECK INVALID INPUT")</f>
        <v>UNUSED</v>
      </c>
      <c r="S47" t="str">
        <f t="shared" si="55"/>
        <v>UNUSED</v>
      </c>
      <c r="T47">
        <f t="shared" si="28"/>
        <v>0</v>
      </c>
      <c r="U47">
        <f t="shared" si="29"/>
        <v>0</v>
      </c>
      <c r="V47">
        <f>IFERROR(MATCH(H47,Agreements!$A$5:$A$16,0),0)</f>
        <v>0</v>
      </c>
      <c r="W47" s="6">
        <f>IF(D47="Refund",IFERROR(INDEX(Agreements!$AA$5:$AA$16,MATCH(IFERROR(INDEX($H$5:$H$64,MATCH(I47,$A$5:$A$64,0)),""),Agreements!$A$5:$A$16,0)),0),IFERROR(INDEX(Agreements!$AA$5:$AA$16,MATCH(H47,Agreements!$A$5:$A$16,0)),0))</f>
        <v>0</v>
      </c>
      <c r="X47" s="3">
        <f t="shared" si="30"/>
        <v>0</v>
      </c>
      <c r="Y47" s="3">
        <f t="shared" si="31"/>
        <v>0</v>
      </c>
      <c r="Z47" s="3">
        <f t="shared" si="32"/>
        <v>0</v>
      </c>
      <c r="AA47" s="3">
        <f t="shared" si="33"/>
        <v>0</v>
      </c>
      <c r="AB47" s="3">
        <f t="shared" si="34"/>
        <v>0</v>
      </c>
      <c r="AC47" s="3">
        <f t="shared" si="35"/>
        <v>0</v>
      </c>
      <c r="AD47" s="3">
        <f t="shared" si="36"/>
        <v>0</v>
      </c>
      <c r="AE47" s="3">
        <f t="shared" si="37"/>
        <v>0</v>
      </c>
      <c r="AF47" s="3">
        <f t="shared" si="38"/>
        <v>0</v>
      </c>
      <c r="AG47" s="3">
        <f t="shared" si="39"/>
        <v>0</v>
      </c>
      <c r="AH47" s="3">
        <f t="shared" si="40"/>
        <v>0</v>
      </c>
      <c r="AI47" s="3">
        <f>N(Setup!$B$12)+SUM(AC$5:AC47)</f>
        <v>0</v>
      </c>
      <c r="AJ47" s="3">
        <f>N(Setup!$B$18)+SUM(AD$5:AD47)</f>
        <v>0</v>
      </c>
      <c r="AK47" s="3">
        <f>N(Setup!$B$13)+SUM(AE$5:AE47)</f>
        <v>0</v>
      </c>
      <c r="AL47" s="3">
        <f>N(Setup!$B$14)+SUM(AF$5:AF47)</f>
        <v>0</v>
      </c>
      <c r="AM47" s="3">
        <f>N(Setup!$B$19)+SUM(AG$5:AG47)</f>
        <v>0</v>
      </c>
      <c r="AN47" s="3">
        <f>N(Setup!$B$20)+SUM(AH$5:AH47)</f>
        <v>0</v>
      </c>
      <c r="AO47" s="3">
        <f t="shared" si="41"/>
        <v>0</v>
      </c>
      <c r="AP47" s="3">
        <f t="shared" si="42"/>
        <v>0</v>
      </c>
      <c r="AQ47" s="3">
        <f t="shared" si="43"/>
        <v>0</v>
      </c>
      <c r="AR47" s="3">
        <f t="shared" si="44"/>
        <v>0</v>
      </c>
      <c r="AS47" s="3">
        <f t="shared" si="45"/>
        <v>0</v>
      </c>
      <c r="AT47" s="3">
        <f t="shared" si="46"/>
        <v>0</v>
      </c>
      <c r="AU47" s="3">
        <f t="shared" si="47"/>
        <v>0</v>
      </c>
      <c r="AV47" s="3">
        <f t="shared" si="48"/>
        <v>0</v>
      </c>
      <c r="AW47" s="3">
        <f t="shared" si="49"/>
        <v>0</v>
      </c>
      <c r="AX47" s="3">
        <f t="shared" si="50"/>
        <v>0</v>
      </c>
      <c r="AY47" s="3">
        <f t="shared" si="51"/>
        <v>0</v>
      </c>
      <c r="AZ47" t="b">
        <f t="shared" si="52"/>
        <v>0</v>
      </c>
      <c r="BA47" t="b">
        <f>OR(AND(F47="Checking",Setup!$B$8&lt;&gt;"None"),AND(F47="Savings",Setup!$B$8="Combined"))</f>
        <v>0</v>
      </c>
      <c r="BB47" t="b">
        <f>OR(AND(G47="Checking",Setup!$B$8&lt;&gt;"None"),AND(G47="Savings",Setup!$B$8="Combined"))</f>
        <v>0</v>
      </c>
      <c r="BC47" t="b">
        <f t="shared" si="53"/>
        <v>0</v>
      </c>
      <c r="BD47" s="3">
        <f t="shared" si="54"/>
        <v>0</v>
      </c>
    </row>
    <row r="48" spans="1:56" ht="63.95" customHeight="1" x14ac:dyDescent="0.25">
      <c r="A48" s="4"/>
      <c r="B48" s="7"/>
      <c r="C48" s="4"/>
      <c r="D48" s="4"/>
      <c r="E48" s="2"/>
      <c r="F48" s="4"/>
      <c r="G48" s="4"/>
      <c r="H48" s="4"/>
      <c r="I48" s="4"/>
      <c r="J48" s="4"/>
      <c r="K48" s="2"/>
      <c r="L48" s="2"/>
      <c r="M48" s="4"/>
      <c r="N48" s="4"/>
      <c r="O48" s="4"/>
      <c r="P48" s="4"/>
      <c r="Q48" t="str">
        <f>IFERROR(IF(AND(T48=1,SUMPRODUCT(--($B$5:B47&gt;B48),$T$5:T47)&gt;0),"CHECK CASH DATE ORDER",IF(COUNTA(A48:P48)=0,"UNUSED",IF(OR(A48="",NOT(ISNUMBER(B48)),NOT(ISNUMBER(E48)),E48&lt;0,COUNTIF($A$5:$A$64,A48)&lt;&gt;1,AND(C48&lt;&gt;"Confirmed",C48&lt;&gt;"Disputed",C48&lt;&gt;"Expected",C48&lt;&gt;"Historical"),AND(N48&lt;&gt;"Cash + allocation",N48&lt;&gt;"Cash only",N48&lt;&gt;"Allocation only"),LEN(TRIM(P48))=0),"CHECK ID / AMOUNT / STATUS",IF(C48="Expected","EXPECTED — EXCLUDED",IF(C48="Historical",IF(B48&lt;Setup!$B$6,"HISTORICAL — NO CASH","CHECK HISTORICAL DATE"),IF(OR(B48&lt;Setup!$B$6,B48&gt;Setup!$B$7,AND(D48="Expense",OR(AND(F48&lt;&gt;"A",F48&lt;&gt;"B",F48&lt;&gt;"Checking",F48&lt;&gt;"Savings"),G48&lt;&gt;"Merchant")),AND(D48="Refund",OR(F48&lt;&gt;"Merchant",AND(G48&lt;&gt;"A",G48&lt;&gt;"B",G48&lt;&gt;"Checking",G48&lt;&gt;"Savings"))),AND(D48="Contribution",OR(AND(F48&lt;&gt;"A",F48&lt;&gt;"B"),NOT(OR(G48="Checking",G48="Savings")))),AND(D48="ReturnContribution",OR(NOT(OR(F48="Checking",F48="Savings")),AND(G48&lt;&gt;"A",G48&lt;&gt;"B"))),AND(OR(D48="Settlement",D48="PersonalSupport"),OR(AND(M48&lt;&gt;"A",M48&lt;&gt;"B"),IF(M48="A",G48&lt;&gt;"B",G48&lt;&gt;"A"),AND(NOT(OR(F48="Checking",F48="Savings")),F48&lt;&gt;M48))),AND(OR(D48="InternalTransfer",D48="BoundaryTransfer"),OR(NOT(OR(F48="Checking",F48="Savings")),NOT(OR(G48="Checking",G48="Savings")),F48=G48)),AND(D48&lt;&gt;"Expense",D48&lt;&gt;"Refund",D48&lt;&gt;"Contribution",D48&lt;&gt;"ReturnContribution",D48&lt;&gt;"Settlement",D48&lt;&gt;"PersonalSupport",D48&lt;&gt;"InternalTransfer",D48&lt;&gt;"BoundaryTransfer"),AND(Setup!$B$8="None",OR(OR(F48="Checking",F48="Savings"),OR(G48="Checking",G48="Savings"))),AND(Setup!$B$8="Checking",Setup!$B$23&lt;&gt;"Active",OR(F48="Savings",G48="Savings")),AND(T48=1,MIN(AI48:AJ48)&lt; -0.005),AND(N48="Cash only",D48&lt;&gt;"Expense"),AND(N48="Allocation only",D48&lt;&gt;"Expense")),"CHECK CASH / SCOPE","READY")))))),"CHECK INVALID INPUT")</f>
        <v>UNUSED</v>
      </c>
      <c r="R48" t="str">
        <f>IFERROR(IF(AND(C48="Historical",D48="Expense",OR(IFERROR(INDEX(Agreements!$Z$5:$Z$16,MATCH(H48,Agreements!$A$5:$A$16,0)),"MISSING")&lt;&gt;"READY",B48&lt;IFERROR(INDEX(Agreements!$C$5:$C$16,MATCH(H48,Agreements!$A$5:$A$16,0)),0),B48&gt;IFERROR(INDEX(Agreements!$D$5:$D$16,MATCH(H48,Agreements!$A$5:$A$16,0)),0))),"CHECK HISTORICAL AGREEMENT",IF(AND(C48="Confirmed",D48="Refund",AND(IFERROR(INDEX($C$5:$C$64,MATCH(I48,$A$5:$A$64,0)),"")&lt;&gt;"Confirmed",IFERROR(INDEX($C$5:$C$64,MATCH(I48,$A$5:$A$64,0)),"")&lt;&gt;"Historical")),"CHECK REFUND SOURCE STATUS",IF(COUNTA(A48:P48)=0,"UNUSED",IF(OR(C48="Expected",C48="Historical"),"NOT CURRENT",IF(C48="Disputed","DISPUTED — CLOSE PENDING",IF(N48="Cash only",IF(ABS(BD48-E48)&lt;0.005,"READY","CHECK ALLOCATION TOTAL"),IF(OR(D48="Expense",D48="Refund"),IF(OR(IFERROR(INDEX(Agreements!$Z$5:$Z$16,MATCH(H48,Agreements!$A$5:$A$16,0)),0)&lt;&gt;"READY",AND(D48="Expense",OR(B48&lt;IFERROR(INDEX(Agreements!$C$5:$C$16,MATCH(H48,Agreements!$A$5:$A$16,0)),0),B48&gt;IFERROR(INDEX(Agreements!$D$5:$D$16,MATCH(H48,Agreements!$A$5:$A$16,0)),0))),AND(D48="Refund",OR(IFERROR(INDEX($D$5:$D$64,MATCH(I48,$A$5:$A$64,0)),"")&lt;&gt;"Expense",IFERROR(INDEX($H$5:$H$64,MATCH(I48,$A$5:$A$64,0)),"")&lt;&gt;H48,SUMIFS($E$5:$E$64,$I$5:$I$64,I48,$D$5:$D$64,"Refund",$C$5:$C$64,"&lt;&gt;Expected")&gt;N(IFERROR(INDEX($E$5:$E$64,MATCH(I48,$A$5:$A$64,0)),""))+0.005,I48="")),AND(N48="Allocation only",OR(O48="",IFERROR(INDEX($F$5:$F$64,MATCH(O48,$A$5:$A$64,0)),"")&lt;&gt;F48,IFERROR(INDEX($N$5:$N$64,MATCH(O48,$A$5:$A$64,0)),"")&lt;&gt;"Cash only")),AND(Setup!$B$8="Checking",OR(F48="Savings",G48="Savings"))),"CHECK AGREEMENT / REFUND / SCOPE","READY"),"READY"))))))),"CHECK INVALID INPUT")</f>
        <v>UNUSED</v>
      </c>
      <c r="S48" t="str">
        <f t="shared" si="55"/>
        <v>UNUSED</v>
      </c>
      <c r="T48">
        <f t="shared" si="28"/>
        <v>0</v>
      </c>
      <c r="U48">
        <f t="shared" si="29"/>
        <v>0</v>
      </c>
      <c r="V48">
        <f>IFERROR(MATCH(H48,Agreements!$A$5:$A$16,0),0)</f>
        <v>0</v>
      </c>
      <c r="W48" s="6">
        <f>IF(D48="Refund",IFERROR(INDEX(Agreements!$AA$5:$AA$16,MATCH(IFERROR(INDEX($H$5:$H$64,MATCH(I48,$A$5:$A$64,0)),""),Agreements!$A$5:$A$16,0)),0),IFERROR(INDEX(Agreements!$AA$5:$AA$16,MATCH(H48,Agreements!$A$5:$A$16,0)),0))</f>
        <v>0</v>
      </c>
      <c r="X48" s="3">
        <f t="shared" si="30"/>
        <v>0</v>
      </c>
      <c r="Y48" s="3">
        <f t="shared" si="31"/>
        <v>0</v>
      </c>
      <c r="Z48" s="3">
        <f t="shared" si="32"/>
        <v>0</v>
      </c>
      <c r="AA48" s="3">
        <f t="shared" si="33"/>
        <v>0</v>
      </c>
      <c r="AB48" s="3">
        <f t="shared" si="34"/>
        <v>0</v>
      </c>
      <c r="AC48" s="3">
        <f t="shared" si="35"/>
        <v>0</v>
      </c>
      <c r="AD48" s="3">
        <f t="shared" si="36"/>
        <v>0</v>
      </c>
      <c r="AE48" s="3">
        <f t="shared" si="37"/>
        <v>0</v>
      </c>
      <c r="AF48" s="3">
        <f t="shared" si="38"/>
        <v>0</v>
      </c>
      <c r="AG48" s="3">
        <f t="shared" si="39"/>
        <v>0</v>
      </c>
      <c r="AH48" s="3">
        <f t="shared" si="40"/>
        <v>0</v>
      </c>
      <c r="AI48" s="3">
        <f>N(Setup!$B$12)+SUM(AC$5:AC48)</f>
        <v>0</v>
      </c>
      <c r="AJ48" s="3">
        <f>N(Setup!$B$18)+SUM(AD$5:AD48)</f>
        <v>0</v>
      </c>
      <c r="AK48" s="3">
        <f>N(Setup!$B$13)+SUM(AE$5:AE48)</f>
        <v>0</v>
      </c>
      <c r="AL48" s="3">
        <f>N(Setup!$B$14)+SUM(AF$5:AF48)</f>
        <v>0</v>
      </c>
      <c r="AM48" s="3">
        <f>N(Setup!$B$19)+SUM(AG$5:AG48)</f>
        <v>0</v>
      </c>
      <c r="AN48" s="3">
        <f>N(Setup!$B$20)+SUM(AH$5:AH48)</f>
        <v>0</v>
      </c>
      <c r="AO48" s="3">
        <f t="shared" si="41"/>
        <v>0</v>
      </c>
      <c r="AP48" s="3">
        <f t="shared" si="42"/>
        <v>0</v>
      </c>
      <c r="AQ48" s="3">
        <f t="shared" si="43"/>
        <v>0</v>
      </c>
      <c r="AR48" s="3">
        <f t="shared" si="44"/>
        <v>0</v>
      </c>
      <c r="AS48" s="3">
        <f t="shared" si="45"/>
        <v>0</v>
      </c>
      <c r="AT48" s="3">
        <f t="shared" si="46"/>
        <v>0</v>
      </c>
      <c r="AU48" s="3">
        <f t="shared" si="47"/>
        <v>0</v>
      </c>
      <c r="AV48" s="3">
        <f t="shared" si="48"/>
        <v>0</v>
      </c>
      <c r="AW48" s="3">
        <f t="shared" si="49"/>
        <v>0</v>
      </c>
      <c r="AX48" s="3">
        <f t="shared" si="50"/>
        <v>0</v>
      </c>
      <c r="AY48" s="3">
        <f t="shared" si="51"/>
        <v>0</v>
      </c>
      <c r="AZ48" t="b">
        <f t="shared" si="52"/>
        <v>0</v>
      </c>
      <c r="BA48" t="b">
        <f>OR(AND(F48="Checking",Setup!$B$8&lt;&gt;"None"),AND(F48="Savings",Setup!$B$8="Combined"))</f>
        <v>0</v>
      </c>
      <c r="BB48" t="b">
        <f>OR(AND(G48="Checking",Setup!$B$8&lt;&gt;"None"),AND(G48="Savings",Setup!$B$8="Combined"))</f>
        <v>0</v>
      </c>
      <c r="BC48" t="b">
        <f t="shared" si="53"/>
        <v>0</v>
      </c>
      <c r="BD48" s="3">
        <f t="shared" si="54"/>
        <v>0</v>
      </c>
    </row>
    <row r="49" spans="1:56" ht="63.95" customHeight="1" x14ac:dyDescent="0.25">
      <c r="A49" s="4"/>
      <c r="B49" s="7"/>
      <c r="C49" s="4"/>
      <c r="D49" s="4"/>
      <c r="E49" s="2"/>
      <c r="F49" s="4"/>
      <c r="G49" s="4"/>
      <c r="H49" s="4"/>
      <c r="I49" s="4"/>
      <c r="J49" s="4"/>
      <c r="K49" s="2"/>
      <c r="L49" s="2"/>
      <c r="M49" s="4"/>
      <c r="N49" s="4"/>
      <c r="O49" s="4"/>
      <c r="P49" s="4"/>
      <c r="Q49" t="str">
        <f>IFERROR(IF(AND(T49=1,SUMPRODUCT(--($B$5:B48&gt;B49),$T$5:T48)&gt;0),"CHECK CASH DATE ORDER",IF(COUNTA(A49:P49)=0,"UNUSED",IF(OR(A49="",NOT(ISNUMBER(B49)),NOT(ISNUMBER(E49)),E49&lt;0,COUNTIF($A$5:$A$64,A49)&lt;&gt;1,AND(C49&lt;&gt;"Confirmed",C49&lt;&gt;"Disputed",C49&lt;&gt;"Expected",C49&lt;&gt;"Historical"),AND(N49&lt;&gt;"Cash + allocation",N49&lt;&gt;"Cash only",N49&lt;&gt;"Allocation only"),LEN(TRIM(P49))=0),"CHECK ID / AMOUNT / STATUS",IF(C49="Expected","EXPECTED — EXCLUDED",IF(C49="Historical",IF(B49&lt;Setup!$B$6,"HISTORICAL — NO CASH","CHECK HISTORICAL DATE"),IF(OR(B49&lt;Setup!$B$6,B49&gt;Setup!$B$7,AND(D49="Expense",OR(AND(F49&lt;&gt;"A",F49&lt;&gt;"B",F49&lt;&gt;"Checking",F49&lt;&gt;"Savings"),G49&lt;&gt;"Merchant")),AND(D49="Refund",OR(F49&lt;&gt;"Merchant",AND(G49&lt;&gt;"A",G49&lt;&gt;"B",G49&lt;&gt;"Checking",G49&lt;&gt;"Savings"))),AND(D49="Contribution",OR(AND(F49&lt;&gt;"A",F49&lt;&gt;"B"),NOT(OR(G49="Checking",G49="Savings")))),AND(D49="ReturnContribution",OR(NOT(OR(F49="Checking",F49="Savings")),AND(G49&lt;&gt;"A",G49&lt;&gt;"B"))),AND(OR(D49="Settlement",D49="PersonalSupport"),OR(AND(M49&lt;&gt;"A",M49&lt;&gt;"B"),IF(M49="A",G49&lt;&gt;"B",G49&lt;&gt;"A"),AND(NOT(OR(F49="Checking",F49="Savings")),F49&lt;&gt;M49))),AND(OR(D49="InternalTransfer",D49="BoundaryTransfer"),OR(NOT(OR(F49="Checking",F49="Savings")),NOT(OR(G49="Checking",G49="Savings")),F49=G49)),AND(D49&lt;&gt;"Expense",D49&lt;&gt;"Refund",D49&lt;&gt;"Contribution",D49&lt;&gt;"ReturnContribution",D49&lt;&gt;"Settlement",D49&lt;&gt;"PersonalSupport",D49&lt;&gt;"InternalTransfer",D49&lt;&gt;"BoundaryTransfer"),AND(Setup!$B$8="None",OR(OR(F49="Checking",F49="Savings"),OR(G49="Checking",G49="Savings"))),AND(Setup!$B$8="Checking",Setup!$B$23&lt;&gt;"Active",OR(F49="Savings",G49="Savings")),AND(T49=1,MIN(AI49:AJ49)&lt; -0.005),AND(N49="Cash only",D49&lt;&gt;"Expense"),AND(N49="Allocation only",D49&lt;&gt;"Expense")),"CHECK CASH / SCOPE","READY")))))),"CHECK INVALID INPUT")</f>
        <v>UNUSED</v>
      </c>
      <c r="R49" t="str">
        <f>IFERROR(IF(AND(C49="Historical",D49="Expense",OR(IFERROR(INDEX(Agreements!$Z$5:$Z$16,MATCH(H49,Agreements!$A$5:$A$16,0)),"MISSING")&lt;&gt;"READY",B49&lt;IFERROR(INDEX(Agreements!$C$5:$C$16,MATCH(H49,Agreements!$A$5:$A$16,0)),0),B49&gt;IFERROR(INDEX(Agreements!$D$5:$D$16,MATCH(H49,Agreements!$A$5:$A$16,0)),0))),"CHECK HISTORICAL AGREEMENT",IF(AND(C49="Confirmed",D49="Refund",AND(IFERROR(INDEX($C$5:$C$64,MATCH(I49,$A$5:$A$64,0)),"")&lt;&gt;"Confirmed",IFERROR(INDEX($C$5:$C$64,MATCH(I49,$A$5:$A$64,0)),"")&lt;&gt;"Historical")),"CHECK REFUND SOURCE STATUS",IF(COUNTA(A49:P49)=0,"UNUSED",IF(OR(C49="Expected",C49="Historical"),"NOT CURRENT",IF(C49="Disputed","DISPUTED — CLOSE PENDING",IF(N49="Cash only",IF(ABS(BD49-E49)&lt;0.005,"READY","CHECK ALLOCATION TOTAL"),IF(OR(D49="Expense",D49="Refund"),IF(OR(IFERROR(INDEX(Agreements!$Z$5:$Z$16,MATCH(H49,Agreements!$A$5:$A$16,0)),0)&lt;&gt;"READY",AND(D49="Expense",OR(B49&lt;IFERROR(INDEX(Agreements!$C$5:$C$16,MATCH(H49,Agreements!$A$5:$A$16,0)),0),B49&gt;IFERROR(INDEX(Agreements!$D$5:$D$16,MATCH(H49,Agreements!$A$5:$A$16,0)),0))),AND(D49="Refund",OR(IFERROR(INDEX($D$5:$D$64,MATCH(I49,$A$5:$A$64,0)),"")&lt;&gt;"Expense",IFERROR(INDEX($H$5:$H$64,MATCH(I49,$A$5:$A$64,0)),"")&lt;&gt;H49,SUMIFS($E$5:$E$64,$I$5:$I$64,I49,$D$5:$D$64,"Refund",$C$5:$C$64,"&lt;&gt;Expected")&gt;N(IFERROR(INDEX($E$5:$E$64,MATCH(I49,$A$5:$A$64,0)),""))+0.005,I49="")),AND(N49="Allocation only",OR(O49="",IFERROR(INDEX($F$5:$F$64,MATCH(O49,$A$5:$A$64,0)),"")&lt;&gt;F49,IFERROR(INDEX($N$5:$N$64,MATCH(O49,$A$5:$A$64,0)),"")&lt;&gt;"Cash only")),AND(Setup!$B$8="Checking",OR(F49="Savings",G49="Savings"))),"CHECK AGREEMENT / REFUND / SCOPE","READY"),"READY"))))))),"CHECK INVALID INPUT")</f>
        <v>UNUSED</v>
      </c>
      <c r="S49" t="str">
        <f t="shared" si="55"/>
        <v>UNUSED</v>
      </c>
      <c r="T49">
        <f t="shared" si="28"/>
        <v>0</v>
      </c>
      <c r="U49">
        <f t="shared" si="29"/>
        <v>0</v>
      </c>
      <c r="V49">
        <f>IFERROR(MATCH(H49,Agreements!$A$5:$A$16,0),0)</f>
        <v>0</v>
      </c>
      <c r="W49" s="6">
        <f>IF(D49="Refund",IFERROR(INDEX(Agreements!$AA$5:$AA$16,MATCH(IFERROR(INDEX($H$5:$H$64,MATCH(I49,$A$5:$A$64,0)),""),Agreements!$A$5:$A$16,0)),0),IFERROR(INDEX(Agreements!$AA$5:$AA$16,MATCH(H49,Agreements!$A$5:$A$16,0)),0))</f>
        <v>0</v>
      </c>
      <c r="X49" s="3">
        <f t="shared" si="30"/>
        <v>0</v>
      </c>
      <c r="Y49" s="3">
        <f t="shared" si="31"/>
        <v>0</v>
      </c>
      <c r="Z49" s="3">
        <f t="shared" si="32"/>
        <v>0</v>
      </c>
      <c r="AA49" s="3">
        <f t="shared" si="33"/>
        <v>0</v>
      </c>
      <c r="AB49" s="3">
        <f t="shared" si="34"/>
        <v>0</v>
      </c>
      <c r="AC49" s="3">
        <f t="shared" si="35"/>
        <v>0</v>
      </c>
      <c r="AD49" s="3">
        <f t="shared" si="36"/>
        <v>0</v>
      </c>
      <c r="AE49" s="3">
        <f t="shared" si="37"/>
        <v>0</v>
      </c>
      <c r="AF49" s="3">
        <f t="shared" si="38"/>
        <v>0</v>
      </c>
      <c r="AG49" s="3">
        <f t="shared" si="39"/>
        <v>0</v>
      </c>
      <c r="AH49" s="3">
        <f t="shared" si="40"/>
        <v>0</v>
      </c>
      <c r="AI49" s="3">
        <f>N(Setup!$B$12)+SUM(AC$5:AC49)</f>
        <v>0</v>
      </c>
      <c r="AJ49" s="3">
        <f>N(Setup!$B$18)+SUM(AD$5:AD49)</f>
        <v>0</v>
      </c>
      <c r="AK49" s="3">
        <f>N(Setup!$B$13)+SUM(AE$5:AE49)</f>
        <v>0</v>
      </c>
      <c r="AL49" s="3">
        <f>N(Setup!$B$14)+SUM(AF$5:AF49)</f>
        <v>0</v>
      </c>
      <c r="AM49" s="3">
        <f>N(Setup!$B$19)+SUM(AG$5:AG49)</f>
        <v>0</v>
      </c>
      <c r="AN49" s="3">
        <f>N(Setup!$B$20)+SUM(AH$5:AH49)</f>
        <v>0</v>
      </c>
      <c r="AO49" s="3">
        <f t="shared" si="41"/>
        <v>0</v>
      </c>
      <c r="AP49" s="3">
        <f t="shared" si="42"/>
        <v>0</v>
      </c>
      <c r="AQ49" s="3">
        <f t="shared" si="43"/>
        <v>0</v>
      </c>
      <c r="AR49" s="3">
        <f t="shared" si="44"/>
        <v>0</v>
      </c>
      <c r="AS49" s="3">
        <f t="shared" si="45"/>
        <v>0</v>
      </c>
      <c r="AT49" s="3">
        <f t="shared" si="46"/>
        <v>0</v>
      </c>
      <c r="AU49" s="3">
        <f t="shared" si="47"/>
        <v>0</v>
      </c>
      <c r="AV49" s="3">
        <f t="shared" si="48"/>
        <v>0</v>
      </c>
      <c r="AW49" s="3">
        <f t="shared" si="49"/>
        <v>0</v>
      </c>
      <c r="AX49" s="3">
        <f t="shared" si="50"/>
        <v>0</v>
      </c>
      <c r="AY49" s="3">
        <f t="shared" si="51"/>
        <v>0</v>
      </c>
      <c r="AZ49" t="b">
        <f t="shared" si="52"/>
        <v>0</v>
      </c>
      <c r="BA49" t="b">
        <f>OR(AND(F49="Checking",Setup!$B$8&lt;&gt;"None"),AND(F49="Savings",Setup!$B$8="Combined"))</f>
        <v>0</v>
      </c>
      <c r="BB49" t="b">
        <f>OR(AND(G49="Checking",Setup!$B$8&lt;&gt;"None"),AND(G49="Savings",Setup!$B$8="Combined"))</f>
        <v>0</v>
      </c>
      <c r="BC49" t="b">
        <f t="shared" si="53"/>
        <v>0</v>
      </c>
      <c r="BD49" s="3">
        <f t="shared" si="54"/>
        <v>0</v>
      </c>
    </row>
    <row r="50" spans="1:56" ht="63.95" customHeight="1" x14ac:dyDescent="0.25">
      <c r="A50" s="4"/>
      <c r="B50" s="7"/>
      <c r="C50" s="4"/>
      <c r="D50" s="4"/>
      <c r="E50" s="2"/>
      <c r="F50" s="4"/>
      <c r="G50" s="4"/>
      <c r="H50" s="4"/>
      <c r="I50" s="4"/>
      <c r="J50" s="4"/>
      <c r="K50" s="2"/>
      <c r="L50" s="2"/>
      <c r="M50" s="4"/>
      <c r="N50" s="4"/>
      <c r="O50" s="4"/>
      <c r="P50" s="4"/>
      <c r="Q50" t="str">
        <f>IFERROR(IF(AND(T50=1,SUMPRODUCT(--($B$5:B49&gt;B50),$T$5:T49)&gt;0),"CHECK CASH DATE ORDER",IF(COUNTA(A50:P50)=0,"UNUSED",IF(OR(A50="",NOT(ISNUMBER(B50)),NOT(ISNUMBER(E50)),E50&lt;0,COUNTIF($A$5:$A$64,A50)&lt;&gt;1,AND(C50&lt;&gt;"Confirmed",C50&lt;&gt;"Disputed",C50&lt;&gt;"Expected",C50&lt;&gt;"Historical"),AND(N50&lt;&gt;"Cash + allocation",N50&lt;&gt;"Cash only",N50&lt;&gt;"Allocation only"),LEN(TRIM(P50))=0),"CHECK ID / AMOUNT / STATUS",IF(C50="Expected","EXPECTED — EXCLUDED",IF(C50="Historical",IF(B50&lt;Setup!$B$6,"HISTORICAL — NO CASH","CHECK HISTORICAL DATE"),IF(OR(B50&lt;Setup!$B$6,B50&gt;Setup!$B$7,AND(D50="Expense",OR(AND(F50&lt;&gt;"A",F50&lt;&gt;"B",F50&lt;&gt;"Checking",F50&lt;&gt;"Savings"),G50&lt;&gt;"Merchant")),AND(D50="Refund",OR(F50&lt;&gt;"Merchant",AND(G50&lt;&gt;"A",G50&lt;&gt;"B",G50&lt;&gt;"Checking",G50&lt;&gt;"Savings"))),AND(D50="Contribution",OR(AND(F50&lt;&gt;"A",F50&lt;&gt;"B"),NOT(OR(G50="Checking",G50="Savings")))),AND(D50="ReturnContribution",OR(NOT(OR(F50="Checking",F50="Savings")),AND(G50&lt;&gt;"A",G50&lt;&gt;"B"))),AND(OR(D50="Settlement",D50="PersonalSupport"),OR(AND(M50&lt;&gt;"A",M50&lt;&gt;"B"),IF(M50="A",G50&lt;&gt;"B",G50&lt;&gt;"A"),AND(NOT(OR(F50="Checking",F50="Savings")),F50&lt;&gt;M50))),AND(OR(D50="InternalTransfer",D50="BoundaryTransfer"),OR(NOT(OR(F50="Checking",F50="Savings")),NOT(OR(G50="Checking",G50="Savings")),F50=G50)),AND(D50&lt;&gt;"Expense",D50&lt;&gt;"Refund",D50&lt;&gt;"Contribution",D50&lt;&gt;"ReturnContribution",D50&lt;&gt;"Settlement",D50&lt;&gt;"PersonalSupport",D50&lt;&gt;"InternalTransfer",D50&lt;&gt;"BoundaryTransfer"),AND(Setup!$B$8="None",OR(OR(F50="Checking",F50="Savings"),OR(G50="Checking",G50="Savings"))),AND(Setup!$B$8="Checking",Setup!$B$23&lt;&gt;"Active",OR(F50="Savings",G50="Savings")),AND(T50=1,MIN(AI50:AJ50)&lt; -0.005),AND(N50="Cash only",D50&lt;&gt;"Expense"),AND(N50="Allocation only",D50&lt;&gt;"Expense")),"CHECK CASH / SCOPE","READY")))))),"CHECK INVALID INPUT")</f>
        <v>UNUSED</v>
      </c>
      <c r="R50" t="str">
        <f>IFERROR(IF(AND(C50="Historical",D50="Expense",OR(IFERROR(INDEX(Agreements!$Z$5:$Z$16,MATCH(H50,Agreements!$A$5:$A$16,0)),"MISSING")&lt;&gt;"READY",B50&lt;IFERROR(INDEX(Agreements!$C$5:$C$16,MATCH(H50,Agreements!$A$5:$A$16,0)),0),B50&gt;IFERROR(INDEX(Agreements!$D$5:$D$16,MATCH(H50,Agreements!$A$5:$A$16,0)),0))),"CHECK HISTORICAL AGREEMENT",IF(AND(C50="Confirmed",D50="Refund",AND(IFERROR(INDEX($C$5:$C$64,MATCH(I50,$A$5:$A$64,0)),"")&lt;&gt;"Confirmed",IFERROR(INDEX($C$5:$C$64,MATCH(I50,$A$5:$A$64,0)),"")&lt;&gt;"Historical")),"CHECK REFUND SOURCE STATUS",IF(COUNTA(A50:P50)=0,"UNUSED",IF(OR(C50="Expected",C50="Historical"),"NOT CURRENT",IF(C50="Disputed","DISPUTED — CLOSE PENDING",IF(N50="Cash only",IF(ABS(BD50-E50)&lt;0.005,"READY","CHECK ALLOCATION TOTAL"),IF(OR(D50="Expense",D50="Refund"),IF(OR(IFERROR(INDEX(Agreements!$Z$5:$Z$16,MATCH(H50,Agreements!$A$5:$A$16,0)),0)&lt;&gt;"READY",AND(D50="Expense",OR(B50&lt;IFERROR(INDEX(Agreements!$C$5:$C$16,MATCH(H50,Agreements!$A$5:$A$16,0)),0),B50&gt;IFERROR(INDEX(Agreements!$D$5:$D$16,MATCH(H50,Agreements!$A$5:$A$16,0)),0))),AND(D50="Refund",OR(IFERROR(INDEX($D$5:$D$64,MATCH(I50,$A$5:$A$64,0)),"")&lt;&gt;"Expense",IFERROR(INDEX($H$5:$H$64,MATCH(I50,$A$5:$A$64,0)),"")&lt;&gt;H50,SUMIFS($E$5:$E$64,$I$5:$I$64,I50,$D$5:$D$64,"Refund",$C$5:$C$64,"&lt;&gt;Expected")&gt;N(IFERROR(INDEX($E$5:$E$64,MATCH(I50,$A$5:$A$64,0)),""))+0.005,I50="")),AND(N50="Allocation only",OR(O50="",IFERROR(INDEX($F$5:$F$64,MATCH(O50,$A$5:$A$64,0)),"")&lt;&gt;F50,IFERROR(INDEX($N$5:$N$64,MATCH(O50,$A$5:$A$64,0)),"")&lt;&gt;"Cash only")),AND(Setup!$B$8="Checking",OR(F50="Savings",G50="Savings"))),"CHECK AGREEMENT / REFUND / SCOPE","READY"),"READY"))))))),"CHECK INVALID INPUT")</f>
        <v>UNUSED</v>
      </c>
      <c r="S50" t="str">
        <f t="shared" si="55"/>
        <v>UNUSED</v>
      </c>
      <c r="T50">
        <f t="shared" si="28"/>
        <v>0</v>
      </c>
      <c r="U50">
        <f t="shared" si="29"/>
        <v>0</v>
      </c>
      <c r="V50">
        <f>IFERROR(MATCH(H50,Agreements!$A$5:$A$16,0),0)</f>
        <v>0</v>
      </c>
      <c r="W50" s="6">
        <f>IF(D50="Refund",IFERROR(INDEX(Agreements!$AA$5:$AA$16,MATCH(IFERROR(INDEX($H$5:$H$64,MATCH(I50,$A$5:$A$64,0)),""),Agreements!$A$5:$A$16,0)),0),IFERROR(INDEX(Agreements!$AA$5:$AA$16,MATCH(H50,Agreements!$A$5:$A$16,0)),0))</f>
        <v>0</v>
      </c>
      <c r="X50" s="3">
        <f t="shared" si="30"/>
        <v>0</v>
      </c>
      <c r="Y50" s="3">
        <f t="shared" si="31"/>
        <v>0</v>
      </c>
      <c r="Z50" s="3">
        <f t="shared" si="32"/>
        <v>0</v>
      </c>
      <c r="AA50" s="3">
        <f t="shared" si="33"/>
        <v>0</v>
      </c>
      <c r="AB50" s="3">
        <f t="shared" si="34"/>
        <v>0</v>
      </c>
      <c r="AC50" s="3">
        <f t="shared" si="35"/>
        <v>0</v>
      </c>
      <c r="AD50" s="3">
        <f t="shared" si="36"/>
        <v>0</v>
      </c>
      <c r="AE50" s="3">
        <f t="shared" si="37"/>
        <v>0</v>
      </c>
      <c r="AF50" s="3">
        <f t="shared" si="38"/>
        <v>0</v>
      </c>
      <c r="AG50" s="3">
        <f t="shared" si="39"/>
        <v>0</v>
      </c>
      <c r="AH50" s="3">
        <f t="shared" si="40"/>
        <v>0</v>
      </c>
      <c r="AI50" s="3">
        <f>N(Setup!$B$12)+SUM(AC$5:AC50)</f>
        <v>0</v>
      </c>
      <c r="AJ50" s="3">
        <f>N(Setup!$B$18)+SUM(AD$5:AD50)</f>
        <v>0</v>
      </c>
      <c r="AK50" s="3">
        <f>N(Setup!$B$13)+SUM(AE$5:AE50)</f>
        <v>0</v>
      </c>
      <c r="AL50" s="3">
        <f>N(Setup!$B$14)+SUM(AF$5:AF50)</f>
        <v>0</v>
      </c>
      <c r="AM50" s="3">
        <f>N(Setup!$B$19)+SUM(AG$5:AG50)</f>
        <v>0</v>
      </c>
      <c r="AN50" s="3">
        <f>N(Setup!$B$20)+SUM(AH$5:AH50)</f>
        <v>0</v>
      </c>
      <c r="AO50" s="3">
        <f t="shared" si="41"/>
        <v>0</v>
      </c>
      <c r="AP50" s="3">
        <f t="shared" si="42"/>
        <v>0</v>
      </c>
      <c r="AQ50" s="3">
        <f t="shared" si="43"/>
        <v>0</v>
      </c>
      <c r="AR50" s="3">
        <f t="shared" si="44"/>
        <v>0</v>
      </c>
      <c r="AS50" s="3">
        <f t="shared" si="45"/>
        <v>0</v>
      </c>
      <c r="AT50" s="3">
        <f t="shared" si="46"/>
        <v>0</v>
      </c>
      <c r="AU50" s="3">
        <f t="shared" si="47"/>
        <v>0</v>
      </c>
      <c r="AV50" s="3">
        <f t="shared" si="48"/>
        <v>0</v>
      </c>
      <c r="AW50" s="3">
        <f t="shared" si="49"/>
        <v>0</v>
      </c>
      <c r="AX50" s="3">
        <f t="shared" si="50"/>
        <v>0</v>
      </c>
      <c r="AY50" s="3">
        <f t="shared" si="51"/>
        <v>0</v>
      </c>
      <c r="AZ50" t="b">
        <f t="shared" si="52"/>
        <v>0</v>
      </c>
      <c r="BA50" t="b">
        <f>OR(AND(F50="Checking",Setup!$B$8&lt;&gt;"None"),AND(F50="Savings",Setup!$B$8="Combined"))</f>
        <v>0</v>
      </c>
      <c r="BB50" t="b">
        <f>OR(AND(G50="Checking",Setup!$B$8&lt;&gt;"None"),AND(G50="Savings",Setup!$B$8="Combined"))</f>
        <v>0</v>
      </c>
      <c r="BC50" t="b">
        <f t="shared" si="53"/>
        <v>0</v>
      </c>
      <c r="BD50" s="3">
        <f t="shared" si="54"/>
        <v>0</v>
      </c>
    </row>
    <row r="51" spans="1:56" ht="63.95" customHeight="1" x14ac:dyDescent="0.25">
      <c r="A51" s="4"/>
      <c r="B51" s="7"/>
      <c r="C51" s="4"/>
      <c r="D51" s="4"/>
      <c r="E51" s="2"/>
      <c r="F51" s="4"/>
      <c r="G51" s="4"/>
      <c r="H51" s="4"/>
      <c r="I51" s="4"/>
      <c r="J51" s="4"/>
      <c r="K51" s="2"/>
      <c r="L51" s="2"/>
      <c r="M51" s="4"/>
      <c r="N51" s="4"/>
      <c r="O51" s="4"/>
      <c r="P51" s="4"/>
      <c r="Q51" t="str">
        <f>IFERROR(IF(AND(T51=1,SUMPRODUCT(--($B$5:B50&gt;B51),$T$5:T50)&gt;0),"CHECK CASH DATE ORDER",IF(COUNTA(A51:P51)=0,"UNUSED",IF(OR(A51="",NOT(ISNUMBER(B51)),NOT(ISNUMBER(E51)),E51&lt;0,COUNTIF($A$5:$A$64,A51)&lt;&gt;1,AND(C51&lt;&gt;"Confirmed",C51&lt;&gt;"Disputed",C51&lt;&gt;"Expected",C51&lt;&gt;"Historical"),AND(N51&lt;&gt;"Cash + allocation",N51&lt;&gt;"Cash only",N51&lt;&gt;"Allocation only"),LEN(TRIM(P51))=0),"CHECK ID / AMOUNT / STATUS",IF(C51="Expected","EXPECTED — EXCLUDED",IF(C51="Historical",IF(B51&lt;Setup!$B$6,"HISTORICAL — NO CASH","CHECK HISTORICAL DATE"),IF(OR(B51&lt;Setup!$B$6,B51&gt;Setup!$B$7,AND(D51="Expense",OR(AND(F51&lt;&gt;"A",F51&lt;&gt;"B",F51&lt;&gt;"Checking",F51&lt;&gt;"Savings"),G51&lt;&gt;"Merchant")),AND(D51="Refund",OR(F51&lt;&gt;"Merchant",AND(G51&lt;&gt;"A",G51&lt;&gt;"B",G51&lt;&gt;"Checking",G51&lt;&gt;"Savings"))),AND(D51="Contribution",OR(AND(F51&lt;&gt;"A",F51&lt;&gt;"B"),NOT(OR(G51="Checking",G51="Savings")))),AND(D51="ReturnContribution",OR(NOT(OR(F51="Checking",F51="Savings")),AND(G51&lt;&gt;"A",G51&lt;&gt;"B"))),AND(OR(D51="Settlement",D51="PersonalSupport"),OR(AND(M51&lt;&gt;"A",M51&lt;&gt;"B"),IF(M51="A",G51&lt;&gt;"B",G51&lt;&gt;"A"),AND(NOT(OR(F51="Checking",F51="Savings")),F51&lt;&gt;M51))),AND(OR(D51="InternalTransfer",D51="BoundaryTransfer"),OR(NOT(OR(F51="Checking",F51="Savings")),NOT(OR(G51="Checking",G51="Savings")),F51=G51)),AND(D51&lt;&gt;"Expense",D51&lt;&gt;"Refund",D51&lt;&gt;"Contribution",D51&lt;&gt;"ReturnContribution",D51&lt;&gt;"Settlement",D51&lt;&gt;"PersonalSupport",D51&lt;&gt;"InternalTransfer",D51&lt;&gt;"BoundaryTransfer"),AND(Setup!$B$8="None",OR(OR(F51="Checking",F51="Savings"),OR(G51="Checking",G51="Savings"))),AND(Setup!$B$8="Checking",Setup!$B$23&lt;&gt;"Active",OR(F51="Savings",G51="Savings")),AND(T51=1,MIN(AI51:AJ51)&lt; -0.005),AND(N51="Cash only",D51&lt;&gt;"Expense"),AND(N51="Allocation only",D51&lt;&gt;"Expense")),"CHECK CASH / SCOPE","READY")))))),"CHECK INVALID INPUT")</f>
        <v>UNUSED</v>
      </c>
      <c r="R51" t="str">
        <f>IFERROR(IF(AND(C51="Historical",D51="Expense",OR(IFERROR(INDEX(Agreements!$Z$5:$Z$16,MATCH(H51,Agreements!$A$5:$A$16,0)),"MISSING")&lt;&gt;"READY",B51&lt;IFERROR(INDEX(Agreements!$C$5:$C$16,MATCH(H51,Agreements!$A$5:$A$16,0)),0),B51&gt;IFERROR(INDEX(Agreements!$D$5:$D$16,MATCH(H51,Agreements!$A$5:$A$16,0)),0))),"CHECK HISTORICAL AGREEMENT",IF(AND(C51="Confirmed",D51="Refund",AND(IFERROR(INDEX($C$5:$C$64,MATCH(I51,$A$5:$A$64,0)),"")&lt;&gt;"Confirmed",IFERROR(INDEX($C$5:$C$64,MATCH(I51,$A$5:$A$64,0)),"")&lt;&gt;"Historical")),"CHECK REFUND SOURCE STATUS",IF(COUNTA(A51:P51)=0,"UNUSED",IF(OR(C51="Expected",C51="Historical"),"NOT CURRENT",IF(C51="Disputed","DISPUTED — CLOSE PENDING",IF(N51="Cash only",IF(ABS(BD51-E51)&lt;0.005,"READY","CHECK ALLOCATION TOTAL"),IF(OR(D51="Expense",D51="Refund"),IF(OR(IFERROR(INDEX(Agreements!$Z$5:$Z$16,MATCH(H51,Agreements!$A$5:$A$16,0)),0)&lt;&gt;"READY",AND(D51="Expense",OR(B51&lt;IFERROR(INDEX(Agreements!$C$5:$C$16,MATCH(H51,Agreements!$A$5:$A$16,0)),0),B51&gt;IFERROR(INDEX(Agreements!$D$5:$D$16,MATCH(H51,Agreements!$A$5:$A$16,0)),0))),AND(D51="Refund",OR(IFERROR(INDEX($D$5:$D$64,MATCH(I51,$A$5:$A$64,0)),"")&lt;&gt;"Expense",IFERROR(INDEX($H$5:$H$64,MATCH(I51,$A$5:$A$64,0)),"")&lt;&gt;H51,SUMIFS($E$5:$E$64,$I$5:$I$64,I51,$D$5:$D$64,"Refund",$C$5:$C$64,"&lt;&gt;Expected")&gt;N(IFERROR(INDEX($E$5:$E$64,MATCH(I51,$A$5:$A$64,0)),""))+0.005,I51="")),AND(N51="Allocation only",OR(O51="",IFERROR(INDEX($F$5:$F$64,MATCH(O51,$A$5:$A$64,0)),"")&lt;&gt;F51,IFERROR(INDEX($N$5:$N$64,MATCH(O51,$A$5:$A$64,0)),"")&lt;&gt;"Cash only")),AND(Setup!$B$8="Checking",OR(F51="Savings",G51="Savings"))),"CHECK AGREEMENT / REFUND / SCOPE","READY"),"READY"))))))),"CHECK INVALID INPUT")</f>
        <v>UNUSED</v>
      </c>
      <c r="S51" t="str">
        <f t="shared" si="55"/>
        <v>UNUSED</v>
      </c>
      <c r="T51">
        <f t="shared" si="28"/>
        <v>0</v>
      </c>
      <c r="U51">
        <f t="shared" si="29"/>
        <v>0</v>
      </c>
      <c r="V51">
        <f>IFERROR(MATCH(H51,Agreements!$A$5:$A$16,0),0)</f>
        <v>0</v>
      </c>
      <c r="W51" s="6">
        <f>IF(D51="Refund",IFERROR(INDEX(Agreements!$AA$5:$AA$16,MATCH(IFERROR(INDEX($H$5:$H$64,MATCH(I51,$A$5:$A$64,0)),""),Agreements!$A$5:$A$16,0)),0),IFERROR(INDEX(Agreements!$AA$5:$AA$16,MATCH(H51,Agreements!$A$5:$A$16,0)),0))</f>
        <v>0</v>
      </c>
      <c r="X51" s="3">
        <f t="shared" si="30"/>
        <v>0</v>
      </c>
      <c r="Y51" s="3">
        <f t="shared" si="31"/>
        <v>0</v>
      </c>
      <c r="Z51" s="3">
        <f t="shared" si="32"/>
        <v>0</v>
      </c>
      <c r="AA51" s="3">
        <f t="shared" si="33"/>
        <v>0</v>
      </c>
      <c r="AB51" s="3">
        <f t="shared" si="34"/>
        <v>0</v>
      </c>
      <c r="AC51" s="3">
        <f t="shared" si="35"/>
        <v>0</v>
      </c>
      <c r="AD51" s="3">
        <f t="shared" si="36"/>
        <v>0</v>
      </c>
      <c r="AE51" s="3">
        <f t="shared" si="37"/>
        <v>0</v>
      </c>
      <c r="AF51" s="3">
        <f t="shared" si="38"/>
        <v>0</v>
      </c>
      <c r="AG51" s="3">
        <f t="shared" si="39"/>
        <v>0</v>
      </c>
      <c r="AH51" s="3">
        <f t="shared" si="40"/>
        <v>0</v>
      </c>
      <c r="AI51" s="3">
        <f>N(Setup!$B$12)+SUM(AC$5:AC51)</f>
        <v>0</v>
      </c>
      <c r="AJ51" s="3">
        <f>N(Setup!$B$18)+SUM(AD$5:AD51)</f>
        <v>0</v>
      </c>
      <c r="AK51" s="3">
        <f>N(Setup!$B$13)+SUM(AE$5:AE51)</f>
        <v>0</v>
      </c>
      <c r="AL51" s="3">
        <f>N(Setup!$B$14)+SUM(AF$5:AF51)</f>
        <v>0</v>
      </c>
      <c r="AM51" s="3">
        <f>N(Setup!$B$19)+SUM(AG$5:AG51)</f>
        <v>0</v>
      </c>
      <c r="AN51" s="3">
        <f>N(Setup!$B$20)+SUM(AH$5:AH51)</f>
        <v>0</v>
      </c>
      <c r="AO51" s="3">
        <f t="shared" si="41"/>
        <v>0</v>
      </c>
      <c r="AP51" s="3">
        <f t="shared" si="42"/>
        <v>0</v>
      </c>
      <c r="AQ51" s="3">
        <f t="shared" si="43"/>
        <v>0</v>
      </c>
      <c r="AR51" s="3">
        <f t="shared" si="44"/>
        <v>0</v>
      </c>
      <c r="AS51" s="3">
        <f t="shared" si="45"/>
        <v>0</v>
      </c>
      <c r="AT51" s="3">
        <f t="shared" si="46"/>
        <v>0</v>
      </c>
      <c r="AU51" s="3">
        <f t="shared" si="47"/>
        <v>0</v>
      </c>
      <c r="AV51" s="3">
        <f t="shared" si="48"/>
        <v>0</v>
      </c>
      <c r="AW51" s="3">
        <f t="shared" si="49"/>
        <v>0</v>
      </c>
      <c r="AX51" s="3">
        <f t="shared" si="50"/>
        <v>0</v>
      </c>
      <c r="AY51" s="3">
        <f t="shared" si="51"/>
        <v>0</v>
      </c>
      <c r="AZ51" t="b">
        <f t="shared" si="52"/>
        <v>0</v>
      </c>
      <c r="BA51" t="b">
        <f>OR(AND(F51="Checking",Setup!$B$8&lt;&gt;"None"),AND(F51="Savings",Setup!$B$8="Combined"))</f>
        <v>0</v>
      </c>
      <c r="BB51" t="b">
        <f>OR(AND(G51="Checking",Setup!$B$8&lt;&gt;"None"),AND(G51="Savings",Setup!$B$8="Combined"))</f>
        <v>0</v>
      </c>
      <c r="BC51" t="b">
        <f t="shared" si="53"/>
        <v>0</v>
      </c>
      <c r="BD51" s="3">
        <f t="shared" si="54"/>
        <v>0</v>
      </c>
    </row>
    <row r="52" spans="1:56" ht="63.95" customHeight="1" x14ac:dyDescent="0.25">
      <c r="A52" s="4"/>
      <c r="B52" s="7"/>
      <c r="C52" s="4"/>
      <c r="D52" s="4"/>
      <c r="E52" s="2"/>
      <c r="F52" s="4"/>
      <c r="G52" s="4"/>
      <c r="H52" s="4"/>
      <c r="I52" s="4"/>
      <c r="J52" s="4"/>
      <c r="K52" s="2"/>
      <c r="L52" s="2"/>
      <c r="M52" s="4"/>
      <c r="N52" s="4"/>
      <c r="O52" s="4"/>
      <c r="P52" s="4"/>
      <c r="Q52" t="str">
        <f>IFERROR(IF(AND(T52=1,SUMPRODUCT(--($B$5:B51&gt;B52),$T$5:T51)&gt;0),"CHECK CASH DATE ORDER",IF(COUNTA(A52:P52)=0,"UNUSED",IF(OR(A52="",NOT(ISNUMBER(B52)),NOT(ISNUMBER(E52)),E52&lt;0,COUNTIF($A$5:$A$64,A52)&lt;&gt;1,AND(C52&lt;&gt;"Confirmed",C52&lt;&gt;"Disputed",C52&lt;&gt;"Expected",C52&lt;&gt;"Historical"),AND(N52&lt;&gt;"Cash + allocation",N52&lt;&gt;"Cash only",N52&lt;&gt;"Allocation only"),LEN(TRIM(P52))=0),"CHECK ID / AMOUNT / STATUS",IF(C52="Expected","EXPECTED — EXCLUDED",IF(C52="Historical",IF(B52&lt;Setup!$B$6,"HISTORICAL — NO CASH","CHECK HISTORICAL DATE"),IF(OR(B52&lt;Setup!$B$6,B52&gt;Setup!$B$7,AND(D52="Expense",OR(AND(F52&lt;&gt;"A",F52&lt;&gt;"B",F52&lt;&gt;"Checking",F52&lt;&gt;"Savings"),G52&lt;&gt;"Merchant")),AND(D52="Refund",OR(F52&lt;&gt;"Merchant",AND(G52&lt;&gt;"A",G52&lt;&gt;"B",G52&lt;&gt;"Checking",G52&lt;&gt;"Savings"))),AND(D52="Contribution",OR(AND(F52&lt;&gt;"A",F52&lt;&gt;"B"),NOT(OR(G52="Checking",G52="Savings")))),AND(D52="ReturnContribution",OR(NOT(OR(F52="Checking",F52="Savings")),AND(G52&lt;&gt;"A",G52&lt;&gt;"B"))),AND(OR(D52="Settlement",D52="PersonalSupport"),OR(AND(M52&lt;&gt;"A",M52&lt;&gt;"B"),IF(M52="A",G52&lt;&gt;"B",G52&lt;&gt;"A"),AND(NOT(OR(F52="Checking",F52="Savings")),F52&lt;&gt;M52))),AND(OR(D52="InternalTransfer",D52="BoundaryTransfer"),OR(NOT(OR(F52="Checking",F52="Savings")),NOT(OR(G52="Checking",G52="Savings")),F52=G52)),AND(D52&lt;&gt;"Expense",D52&lt;&gt;"Refund",D52&lt;&gt;"Contribution",D52&lt;&gt;"ReturnContribution",D52&lt;&gt;"Settlement",D52&lt;&gt;"PersonalSupport",D52&lt;&gt;"InternalTransfer",D52&lt;&gt;"BoundaryTransfer"),AND(Setup!$B$8="None",OR(OR(F52="Checking",F52="Savings"),OR(G52="Checking",G52="Savings"))),AND(Setup!$B$8="Checking",Setup!$B$23&lt;&gt;"Active",OR(F52="Savings",G52="Savings")),AND(T52=1,MIN(AI52:AJ52)&lt; -0.005),AND(N52="Cash only",D52&lt;&gt;"Expense"),AND(N52="Allocation only",D52&lt;&gt;"Expense")),"CHECK CASH / SCOPE","READY")))))),"CHECK INVALID INPUT")</f>
        <v>UNUSED</v>
      </c>
      <c r="R52" t="str">
        <f>IFERROR(IF(AND(C52="Historical",D52="Expense",OR(IFERROR(INDEX(Agreements!$Z$5:$Z$16,MATCH(H52,Agreements!$A$5:$A$16,0)),"MISSING")&lt;&gt;"READY",B52&lt;IFERROR(INDEX(Agreements!$C$5:$C$16,MATCH(H52,Agreements!$A$5:$A$16,0)),0),B52&gt;IFERROR(INDEX(Agreements!$D$5:$D$16,MATCH(H52,Agreements!$A$5:$A$16,0)),0))),"CHECK HISTORICAL AGREEMENT",IF(AND(C52="Confirmed",D52="Refund",AND(IFERROR(INDEX($C$5:$C$64,MATCH(I52,$A$5:$A$64,0)),"")&lt;&gt;"Confirmed",IFERROR(INDEX($C$5:$C$64,MATCH(I52,$A$5:$A$64,0)),"")&lt;&gt;"Historical")),"CHECK REFUND SOURCE STATUS",IF(COUNTA(A52:P52)=0,"UNUSED",IF(OR(C52="Expected",C52="Historical"),"NOT CURRENT",IF(C52="Disputed","DISPUTED — CLOSE PENDING",IF(N52="Cash only",IF(ABS(BD52-E52)&lt;0.005,"READY","CHECK ALLOCATION TOTAL"),IF(OR(D52="Expense",D52="Refund"),IF(OR(IFERROR(INDEX(Agreements!$Z$5:$Z$16,MATCH(H52,Agreements!$A$5:$A$16,0)),0)&lt;&gt;"READY",AND(D52="Expense",OR(B52&lt;IFERROR(INDEX(Agreements!$C$5:$C$16,MATCH(H52,Agreements!$A$5:$A$16,0)),0),B52&gt;IFERROR(INDEX(Agreements!$D$5:$D$16,MATCH(H52,Agreements!$A$5:$A$16,0)),0))),AND(D52="Refund",OR(IFERROR(INDEX($D$5:$D$64,MATCH(I52,$A$5:$A$64,0)),"")&lt;&gt;"Expense",IFERROR(INDEX($H$5:$H$64,MATCH(I52,$A$5:$A$64,0)),"")&lt;&gt;H52,SUMIFS($E$5:$E$64,$I$5:$I$64,I52,$D$5:$D$64,"Refund",$C$5:$C$64,"&lt;&gt;Expected")&gt;N(IFERROR(INDEX($E$5:$E$64,MATCH(I52,$A$5:$A$64,0)),""))+0.005,I52="")),AND(N52="Allocation only",OR(O52="",IFERROR(INDEX($F$5:$F$64,MATCH(O52,$A$5:$A$64,0)),"")&lt;&gt;F52,IFERROR(INDEX($N$5:$N$64,MATCH(O52,$A$5:$A$64,0)),"")&lt;&gt;"Cash only")),AND(Setup!$B$8="Checking",OR(F52="Savings",G52="Savings"))),"CHECK AGREEMENT / REFUND / SCOPE","READY"),"READY"))))))),"CHECK INVALID INPUT")</f>
        <v>UNUSED</v>
      </c>
      <c r="S52" t="str">
        <f t="shared" si="55"/>
        <v>UNUSED</v>
      </c>
      <c r="T52">
        <f t="shared" si="28"/>
        <v>0</v>
      </c>
      <c r="U52">
        <f t="shared" si="29"/>
        <v>0</v>
      </c>
      <c r="V52">
        <f>IFERROR(MATCH(H52,Agreements!$A$5:$A$16,0),0)</f>
        <v>0</v>
      </c>
      <c r="W52" s="6">
        <f>IF(D52="Refund",IFERROR(INDEX(Agreements!$AA$5:$AA$16,MATCH(IFERROR(INDEX($H$5:$H$64,MATCH(I52,$A$5:$A$64,0)),""),Agreements!$A$5:$A$16,0)),0),IFERROR(INDEX(Agreements!$AA$5:$AA$16,MATCH(H52,Agreements!$A$5:$A$16,0)),0))</f>
        <v>0</v>
      </c>
      <c r="X52" s="3">
        <f t="shared" si="30"/>
        <v>0</v>
      </c>
      <c r="Y52" s="3">
        <f t="shared" si="31"/>
        <v>0</v>
      </c>
      <c r="Z52" s="3">
        <f t="shared" si="32"/>
        <v>0</v>
      </c>
      <c r="AA52" s="3">
        <f t="shared" si="33"/>
        <v>0</v>
      </c>
      <c r="AB52" s="3">
        <f t="shared" si="34"/>
        <v>0</v>
      </c>
      <c r="AC52" s="3">
        <f t="shared" si="35"/>
        <v>0</v>
      </c>
      <c r="AD52" s="3">
        <f t="shared" si="36"/>
        <v>0</v>
      </c>
      <c r="AE52" s="3">
        <f t="shared" si="37"/>
        <v>0</v>
      </c>
      <c r="AF52" s="3">
        <f t="shared" si="38"/>
        <v>0</v>
      </c>
      <c r="AG52" s="3">
        <f t="shared" si="39"/>
        <v>0</v>
      </c>
      <c r="AH52" s="3">
        <f t="shared" si="40"/>
        <v>0</v>
      </c>
      <c r="AI52" s="3">
        <f>N(Setup!$B$12)+SUM(AC$5:AC52)</f>
        <v>0</v>
      </c>
      <c r="AJ52" s="3">
        <f>N(Setup!$B$18)+SUM(AD$5:AD52)</f>
        <v>0</v>
      </c>
      <c r="AK52" s="3">
        <f>N(Setup!$B$13)+SUM(AE$5:AE52)</f>
        <v>0</v>
      </c>
      <c r="AL52" s="3">
        <f>N(Setup!$B$14)+SUM(AF$5:AF52)</f>
        <v>0</v>
      </c>
      <c r="AM52" s="3">
        <f>N(Setup!$B$19)+SUM(AG$5:AG52)</f>
        <v>0</v>
      </c>
      <c r="AN52" s="3">
        <f>N(Setup!$B$20)+SUM(AH$5:AH52)</f>
        <v>0</v>
      </c>
      <c r="AO52" s="3">
        <f t="shared" si="41"/>
        <v>0</v>
      </c>
      <c r="AP52" s="3">
        <f t="shared" si="42"/>
        <v>0</v>
      </c>
      <c r="AQ52" s="3">
        <f t="shared" si="43"/>
        <v>0</v>
      </c>
      <c r="AR52" s="3">
        <f t="shared" si="44"/>
        <v>0</v>
      </c>
      <c r="AS52" s="3">
        <f t="shared" si="45"/>
        <v>0</v>
      </c>
      <c r="AT52" s="3">
        <f t="shared" si="46"/>
        <v>0</v>
      </c>
      <c r="AU52" s="3">
        <f t="shared" si="47"/>
        <v>0</v>
      </c>
      <c r="AV52" s="3">
        <f t="shared" si="48"/>
        <v>0</v>
      </c>
      <c r="AW52" s="3">
        <f t="shared" si="49"/>
        <v>0</v>
      </c>
      <c r="AX52" s="3">
        <f t="shared" si="50"/>
        <v>0</v>
      </c>
      <c r="AY52" s="3">
        <f t="shared" si="51"/>
        <v>0</v>
      </c>
      <c r="AZ52" t="b">
        <f t="shared" si="52"/>
        <v>0</v>
      </c>
      <c r="BA52" t="b">
        <f>OR(AND(F52="Checking",Setup!$B$8&lt;&gt;"None"),AND(F52="Savings",Setup!$B$8="Combined"))</f>
        <v>0</v>
      </c>
      <c r="BB52" t="b">
        <f>OR(AND(G52="Checking",Setup!$B$8&lt;&gt;"None"),AND(G52="Savings",Setup!$B$8="Combined"))</f>
        <v>0</v>
      </c>
      <c r="BC52" t="b">
        <f t="shared" si="53"/>
        <v>0</v>
      </c>
      <c r="BD52" s="3">
        <f t="shared" si="54"/>
        <v>0</v>
      </c>
    </row>
    <row r="53" spans="1:56" ht="63.95" customHeight="1" x14ac:dyDescent="0.25">
      <c r="A53" s="4"/>
      <c r="B53" s="7"/>
      <c r="C53" s="4"/>
      <c r="D53" s="4"/>
      <c r="E53" s="2"/>
      <c r="F53" s="4"/>
      <c r="G53" s="4"/>
      <c r="H53" s="4"/>
      <c r="I53" s="4"/>
      <c r="J53" s="4"/>
      <c r="K53" s="2"/>
      <c r="L53" s="2"/>
      <c r="M53" s="4"/>
      <c r="N53" s="4"/>
      <c r="O53" s="4"/>
      <c r="P53" s="4"/>
      <c r="Q53" t="str">
        <f>IFERROR(IF(AND(T53=1,SUMPRODUCT(--($B$5:B52&gt;B53),$T$5:T52)&gt;0),"CHECK CASH DATE ORDER",IF(COUNTA(A53:P53)=0,"UNUSED",IF(OR(A53="",NOT(ISNUMBER(B53)),NOT(ISNUMBER(E53)),E53&lt;0,COUNTIF($A$5:$A$64,A53)&lt;&gt;1,AND(C53&lt;&gt;"Confirmed",C53&lt;&gt;"Disputed",C53&lt;&gt;"Expected",C53&lt;&gt;"Historical"),AND(N53&lt;&gt;"Cash + allocation",N53&lt;&gt;"Cash only",N53&lt;&gt;"Allocation only"),LEN(TRIM(P53))=0),"CHECK ID / AMOUNT / STATUS",IF(C53="Expected","EXPECTED — EXCLUDED",IF(C53="Historical",IF(B53&lt;Setup!$B$6,"HISTORICAL — NO CASH","CHECK HISTORICAL DATE"),IF(OR(B53&lt;Setup!$B$6,B53&gt;Setup!$B$7,AND(D53="Expense",OR(AND(F53&lt;&gt;"A",F53&lt;&gt;"B",F53&lt;&gt;"Checking",F53&lt;&gt;"Savings"),G53&lt;&gt;"Merchant")),AND(D53="Refund",OR(F53&lt;&gt;"Merchant",AND(G53&lt;&gt;"A",G53&lt;&gt;"B",G53&lt;&gt;"Checking",G53&lt;&gt;"Savings"))),AND(D53="Contribution",OR(AND(F53&lt;&gt;"A",F53&lt;&gt;"B"),NOT(OR(G53="Checking",G53="Savings")))),AND(D53="ReturnContribution",OR(NOT(OR(F53="Checking",F53="Savings")),AND(G53&lt;&gt;"A",G53&lt;&gt;"B"))),AND(OR(D53="Settlement",D53="PersonalSupport"),OR(AND(M53&lt;&gt;"A",M53&lt;&gt;"B"),IF(M53="A",G53&lt;&gt;"B",G53&lt;&gt;"A"),AND(NOT(OR(F53="Checking",F53="Savings")),F53&lt;&gt;M53))),AND(OR(D53="InternalTransfer",D53="BoundaryTransfer"),OR(NOT(OR(F53="Checking",F53="Savings")),NOT(OR(G53="Checking",G53="Savings")),F53=G53)),AND(D53&lt;&gt;"Expense",D53&lt;&gt;"Refund",D53&lt;&gt;"Contribution",D53&lt;&gt;"ReturnContribution",D53&lt;&gt;"Settlement",D53&lt;&gt;"PersonalSupport",D53&lt;&gt;"InternalTransfer",D53&lt;&gt;"BoundaryTransfer"),AND(Setup!$B$8="None",OR(OR(F53="Checking",F53="Savings"),OR(G53="Checking",G53="Savings"))),AND(Setup!$B$8="Checking",Setup!$B$23&lt;&gt;"Active",OR(F53="Savings",G53="Savings")),AND(T53=1,MIN(AI53:AJ53)&lt; -0.005),AND(N53="Cash only",D53&lt;&gt;"Expense"),AND(N53="Allocation only",D53&lt;&gt;"Expense")),"CHECK CASH / SCOPE","READY")))))),"CHECK INVALID INPUT")</f>
        <v>UNUSED</v>
      </c>
      <c r="R53" t="str">
        <f>IFERROR(IF(AND(C53="Historical",D53="Expense",OR(IFERROR(INDEX(Agreements!$Z$5:$Z$16,MATCH(H53,Agreements!$A$5:$A$16,0)),"MISSING")&lt;&gt;"READY",B53&lt;IFERROR(INDEX(Agreements!$C$5:$C$16,MATCH(H53,Agreements!$A$5:$A$16,0)),0),B53&gt;IFERROR(INDEX(Agreements!$D$5:$D$16,MATCH(H53,Agreements!$A$5:$A$16,0)),0))),"CHECK HISTORICAL AGREEMENT",IF(AND(C53="Confirmed",D53="Refund",AND(IFERROR(INDEX($C$5:$C$64,MATCH(I53,$A$5:$A$64,0)),"")&lt;&gt;"Confirmed",IFERROR(INDEX($C$5:$C$64,MATCH(I53,$A$5:$A$64,0)),"")&lt;&gt;"Historical")),"CHECK REFUND SOURCE STATUS",IF(COUNTA(A53:P53)=0,"UNUSED",IF(OR(C53="Expected",C53="Historical"),"NOT CURRENT",IF(C53="Disputed","DISPUTED — CLOSE PENDING",IF(N53="Cash only",IF(ABS(BD53-E53)&lt;0.005,"READY","CHECK ALLOCATION TOTAL"),IF(OR(D53="Expense",D53="Refund"),IF(OR(IFERROR(INDEX(Agreements!$Z$5:$Z$16,MATCH(H53,Agreements!$A$5:$A$16,0)),0)&lt;&gt;"READY",AND(D53="Expense",OR(B53&lt;IFERROR(INDEX(Agreements!$C$5:$C$16,MATCH(H53,Agreements!$A$5:$A$16,0)),0),B53&gt;IFERROR(INDEX(Agreements!$D$5:$D$16,MATCH(H53,Agreements!$A$5:$A$16,0)),0))),AND(D53="Refund",OR(IFERROR(INDEX($D$5:$D$64,MATCH(I53,$A$5:$A$64,0)),"")&lt;&gt;"Expense",IFERROR(INDEX($H$5:$H$64,MATCH(I53,$A$5:$A$64,0)),"")&lt;&gt;H53,SUMIFS($E$5:$E$64,$I$5:$I$64,I53,$D$5:$D$64,"Refund",$C$5:$C$64,"&lt;&gt;Expected")&gt;N(IFERROR(INDEX($E$5:$E$64,MATCH(I53,$A$5:$A$64,0)),""))+0.005,I53="")),AND(N53="Allocation only",OR(O53="",IFERROR(INDEX($F$5:$F$64,MATCH(O53,$A$5:$A$64,0)),"")&lt;&gt;F53,IFERROR(INDEX($N$5:$N$64,MATCH(O53,$A$5:$A$64,0)),"")&lt;&gt;"Cash only")),AND(Setup!$B$8="Checking",OR(F53="Savings",G53="Savings"))),"CHECK AGREEMENT / REFUND / SCOPE","READY"),"READY"))))))),"CHECK INVALID INPUT")</f>
        <v>UNUSED</v>
      </c>
      <c r="S53" t="str">
        <f t="shared" si="55"/>
        <v>UNUSED</v>
      </c>
      <c r="T53">
        <f t="shared" si="28"/>
        <v>0</v>
      </c>
      <c r="U53">
        <f t="shared" si="29"/>
        <v>0</v>
      </c>
      <c r="V53">
        <f>IFERROR(MATCH(H53,Agreements!$A$5:$A$16,0),0)</f>
        <v>0</v>
      </c>
      <c r="W53" s="6">
        <f>IF(D53="Refund",IFERROR(INDEX(Agreements!$AA$5:$AA$16,MATCH(IFERROR(INDEX($H$5:$H$64,MATCH(I53,$A$5:$A$64,0)),""),Agreements!$A$5:$A$16,0)),0),IFERROR(INDEX(Agreements!$AA$5:$AA$16,MATCH(H53,Agreements!$A$5:$A$16,0)),0))</f>
        <v>0</v>
      </c>
      <c r="X53" s="3">
        <f t="shared" si="30"/>
        <v>0</v>
      </c>
      <c r="Y53" s="3">
        <f t="shared" si="31"/>
        <v>0</v>
      </c>
      <c r="Z53" s="3">
        <f t="shared" si="32"/>
        <v>0</v>
      </c>
      <c r="AA53" s="3">
        <f t="shared" si="33"/>
        <v>0</v>
      </c>
      <c r="AB53" s="3">
        <f t="shared" si="34"/>
        <v>0</v>
      </c>
      <c r="AC53" s="3">
        <f t="shared" si="35"/>
        <v>0</v>
      </c>
      <c r="AD53" s="3">
        <f t="shared" si="36"/>
        <v>0</v>
      </c>
      <c r="AE53" s="3">
        <f t="shared" si="37"/>
        <v>0</v>
      </c>
      <c r="AF53" s="3">
        <f t="shared" si="38"/>
        <v>0</v>
      </c>
      <c r="AG53" s="3">
        <f t="shared" si="39"/>
        <v>0</v>
      </c>
      <c r="AH53" s="3">
        <f t="shared" si="40"/>
        <v>0</v>
      </c>
      <c r="AI53" s="3">
        <f>N(Setup!$B$12)+SUM(AC$5:AC53)</f>
        <v>0</v>
      </c>
      <c r="AJ53" s="3">
        <f>N(Setup!$B$18)+SUM(AD$5:AD53)</f>
        <v>0</v>
      </c>
      <c r="AK53" s="3">
        <f>N(Setup!$B$13)+SUM(AE$5:AE53)</f>
        <v>0</v>
      </c>
      <c r="AL53" s="3">
        <f>N(Setup!$B$14)+SUM(AF$5:AF53)</f>
        <v>0</v>
      </c>
      <c r="AM53" s="3">
        <f>N(Setup!$B$19)+SUM(AG$5:AG53)</f>
        <v>0</v>
      </c>
      <c r="AN53" s="3">
        <f>N(Setup!$B$20)+SUM(AH$5:AH53)</f>
        <v>0</v>
      </c>
      <c r="AO53" s="3">
        <f t="shared" si="41"/>
        <v>0</v>
      </c>
      <c r="AP53" s="3">
        <f t="shared" si="42"/>
        <v>0</v>
      </c>
      <c r="AQ53" s="3">
        <f t="shared" si="43"/>
        <v>0</v>
      </c>
      <c r="AR53" s="3">
        <f t="shared" si="44"/>
        <v>0</v>
      </c>
      <c r="AS53" s="3">
        <f t="shared" si="45"/>
        <v>0</v>
      </c>
      <c r="AT53" s="3">
        <f t="shared" si="46"/>
        <v>0</v>
      </c>
      <c r="AU53" s="3">
        <f t="shared" si="47"/>
        <v>0</v>
      </c>
      <c r="AV53" s="3">
        <f t="shared" si="48"/>
        <v>0</v>
      </c>
      <c r="AW53" s="3">
        <f t="shared" si="49"/>
        <v>0</v>
      </c>
      <c r="AX53" s="3">
        <f t="shared" si="50"/>
        <v>0</v>
      </c>
      <c r="AY53" s="3">
        <f t="shared" si="51"/>
        <v>0</v>
      </c>
      <c r="AZ53" t="b">
        <f t="shared" si="52"/>
        <v>0</v>
      </c>
      <c r="BA53" t="b">
        <f>OR(AND(F53="Checking",Setup!$B$8&lt;&gt;"None"),AND(F53="Savings",Setup!$B$8="Combined"))</f>
        <v>0</v>
      </c>
      <c r="BB53" t="b">
        <f>OR(AND(G53="Checking",Setup!$B$8&lt;&gt;"None"),AND(G53="Savings",Setup!$B$8="Combined"))</f>
        <v>0</v>
      </c>
      <c r="BC53" t="b">
        <f t="shared" si="53"/>
        <v>0</v>
      </c>
      <c r="BD53" s="3">
        <f t="shared" si="54"/>
        <v>0</v>
      </c>
    </row>
    <row r="54" spans="1:56" ht="63.95" customHeight="1" x14ac:dyDescent="0.25">
      <c r="A54" s="4"/>
      <c r="B54" s="7"/>
      <c r="C54" s="4"/>
      <c r="D54" s="4"/>
      <c r="E54" s="2"/>
      <c r="F54" s="4"/>
      <c r="G54" s="4"/>
      <c r="H54" s="4"/>
      <c r="I54" s="4"/>
      <c r="J54" s="4"/>
      <c r="K54" s="2"/>
      <c r="L54" s="2"/>
      <c r="M54" s="4"/>
      <c r="N54" s="4"/>
      <c r="O54" s="4"/>
      <c r="P54" s="4"/>
      <c r="Q54" t="str">
        <f>IFERROR(IF(AND(T54=1,SUMPRODUCT(--($B$5:B53&gt;B54),$T$5:T53)&gt;0),"CHECK CASH DATE ORDER",IF(COUNTA(A54:P54)=0,"UNUSED",IF(OR(A54="",NOT(ISNUMBER(B54)),NOT(ISNUMBER(E54)),E54&lt;0,COUNTIF($A$5:$A$64,A54)&lt;&gt;1,AND(C54&lt;&gt;"Confirmed",C54&lt;&gt;"Disputed",C54&lt;&gt;"Expected",C54&lt;&gt;"Historical"),AND(N54&lt;&gt;"Cash + allocation",N54&lt;&gt;"Cash only",N54&lt;&gt;"Allocation only"),LEN(TRIM(P54))=0),"CHECK ID / AMOUNT / STATUS",IF(C54="Expected","EXPECTED — EXCLUDED",IF(C54="Historical",IF(B54&lt;Setup!$B$6,"HISTORICAL — NO CASH","CHECK HISTORICAL DATE"),IF(OR(B54&lt;Setup!$B$6,B54&gt;Setup!$B$7,AND(D54="Expense",OR(AND(F54&lt;&gt;"A",F54&lt;&gt;"B",F54&lt;&gt;"Checking",F54&lt;&gt;"Savings"),G54&lt;&gt;"Merchant")),AND(D54="Refund",OR(F54&lt;&gt;"Merchant",AND(G54&lt;&gt;"A",G54&lt;&gt;"B",G54&lt;&gt;"Checking",G54&lt;&gt;"Savings"))),AND(D54="Contribution",OR(AND(F54&lt;&gt;"A",F54&lt;&gt;"B"),NOT(OR(G54="Checking",G54="Savings")))),AND(D54="ReturnContribution",OR(NOT(OR(F54="Checking",F54="Savings")),AND(G54&lt;&gt;"A",G54&lt;&gt;"B"))),AND(OR(D54="Settlement",D54="PersonalSupport"),OR(AND(M54&lt;&gt;"A",M54&lt;&gt;"B"),IF(M54="A",G54&lt;&gt;"B",G54&lt;&gt;"A"),AND(NOT(OR(F54="Checking",F54="Savings")),F54&lt;&gt;M54))),AND(OR(D54="InternalTransfer",D54="BoundaryTransfer"),OR(NOT(OR(F54="Checking",F54="Savings")),NOT(OR(G54="Checking",G54="Savings")),F54=G54)),AND(D54&lt;&gt;"Expense",D54&lt;&gt;"Refund",D54&lt;&gt;"Contribution",D54&lt;&gt;"ReturnContribution",D54&lt;&gt;"Settlement",D54&lt;&gt;"PersonalSupport",D54&lt;&gt;"InternalTransfer",D54&lt;&gt;"BoundaryTransfer"),AND(Setup!$B$8="None",OR(OR(F54="Checking",F54="Savings"),OR(G54="Checking",G54="Savings"))),AND(Setup!$B$8="Checking",Setup!$B$23&lt;&gt;"Active",OR(F54="Savings",G54="Savings")),AND(T54=1,MIN(AI54:AJ54)&lt; -0.005),AND(N54="Cash only",D54&lt;&gt;"Expense"),AND(N54="Allocation only",D54&lt;&gt;"Expense")),"CHECK CASH / SCOPE","READY")))))),"CHECK INVALID INPUT")</f>
        <v>UNUSED</v>
      </c>
      <c r="R54" t="str">
        <f>IFERROR(IF(AND(C54="Historical",D54="Expense",OR(IFERROR(INDEX(Agreements!$Z$5:$Z$16,MATCH(H54,Agreements!$A$5:$A$16,0)),"MISSING")&lt;&gt;"READY",B54&lt;IFERROR(INDEX(Agreements!$C$5:$C$16,MATCH(H54,Agreements!$A$5:$A$16,0)),0),B54&gt;IFERROR(INDEX(Agreements!$D$5:$D$16,MATCH(H54,Agreements!$A$5:$A$16,0)),0))),"CHECK HISTORICAL AGREEMENT",IF(AND(C54="Confirmed",D54="Refund",AND(IFERROR(INDEX($C$5:$C$64,MATCH(I54,$A$5:$A$64,0)),"")&lt;&gt;"Confirmed",IFERROR(INDEX($C$5:$C$64,MATCH(I54,$A$5:$A$64,0)),"")&lt;&gt;"Historical")),"CHECK REFUND SOURCE STATUS",IF(COUNTA(A54:P54)=0,"UNUSED",IF(OR(C54="Expected",C54="Historical"),"NOT CURRENT",IF(C54="Disputed","DISPUTED — CLOSE PENDING",IF(N54="Cash only",IF(ABS(BD54-E54)&lt;0.005,"READY","CHECK ALLOCATION TOTAL"),IF(OR(D54="Expense",D54="Refund"),IF(OR(IFERROR(INDEX(Agreements!$Z$5:$Z$16,MATCH(H54,Agreements!$A$5:$A$16,0)),0)&lt;&gt;"READY",AND(D54="Expense",OR(B54&lt;IFERROR(INDEX(Agreements!$C$5:$C$16,MATCH(H54,Agreements!$A$5:$A$16,0)),0),B54&gt;IFERROR(INDEX(Agreements!$D$5:$D$16,MATCH(H54,Agreements!$A$5:$A$16,0)),0))),AND(D54="Refund",OR(IFERROR(INDEX($D$5:$D$64,MATCH(I54,$A$5:$A$64,0)),"")&lt;&gt;"Expense",IFERROR(INDEX($H$5:$H$64,MATCH(I54,$A$5:$A$64,0)),"")&lt;&gt;H54,SUMIFS($E$5:$E$64,$I$5:$I$64,I54,$D$5:$D$64,"Refund",$C$5:$C$64,"&lt;&gt;Expected")&gt;N(IFERROR(INDEX($E$5:$E$64,MATCH(I54,$A$5:$A$64,0)),""))+0.005,I54="")),AND(N54="Allocation only",OR(O54="",IFERROR(INDEX($F$5:$F$64,MATCH(O54,$A$5:$A$64,0)),"")&lt;&gt;F54,IFERROR(INDEX($N$5:$N$64,MATCH(O54,$A$5:$A$64,0)),"")&lt;&gt;"Cash only")),AND(Setup!$B$8="Checking",OR(F54="Savings",G54="Savings"))),"CHECK AGREEMENT / REFUND / SCOPE","READY"),"READY"))))))),"CHECK INVALID INPUT")</f>
        <v>UNUSED</v>
      </c>
      <c r="S54" t="str">
        <f t="shared" si="55"/>
        <v>UNUSED</v>
      </c>
      <c r="T54">
        <f t="shared" si="28"/>
        <v>0</v>
      </c>
      <c r="U54">
        <f t="shared" si="29"/>
        <v>0</v>
      </c>
      <c r="V54">
        <f>IFERROR(MATCH(H54,Agreements!$A$5:$A$16,0),0)</f>
        <v>0</v>
      </c>
      <c r="W54" s="6">
        <f>IF(D54="Refund",IFERROR(INDEX(Agreements!$AA$5:$AA$16,MATCH(IFERROR(INDEX($H$5:$H$64,MATCH(I54,$A$5:$A$64,0)),""),Agreements!$A$5:$A$16,0)),0),IFERROR(INDEX(Agreements!$AA$5:$AA$16,MATCH(H54,Agreements!$A$5:$A$16,0)),0))</f>
        <v>0</v>
      </c>
      <c r="X54" s="3">
        <f t="shared" si="30"/>
        <v>0</v>
      </c>
      <c r="Y54" s="3">
        <f t="shared" si="31"/>
        <v>0</v>
      </c>
      <c r="Z54" s="3">
        <f t="shared" si="32"/>
        <v>0</v>
      </c>
      <c r="AA54" s="3">
        <f t="shared" si="33"/>
        <v>0</v>
      </c>
      <c r="AB54" s="3">
        <f t="shared" si="34"/>
        <v>0</v>
      </c>
      <c r="AC54" s="3">
        <f t="shared" si="35"/>
        <v>0</v>
      </c>
      <c r="AD54" s="3">
        <f t="shared" si="36"/>
        <v>0</v>
      </c>
      <c r="AE54" s="3">
        <f t="shared" si="37"/>
        <v>0</v>
      </c>
      <c r="AF54" s="3">
        <f t="shared" si="38"/>
        <v>0</v>
      </c>
      <c r="AG54" s="3">
        <f t="shared" si="39"/>
        <v>0</v>
      </c>
      <c r="AH54" s="3">
        <f t="shared" si="40"/>
        <v>0</v>
      </c>
      <c r="AI54" s="3">
        <f>N(Setup!$B$12)+SUM(AC$5:AC54)</f>
        <v>0</v>
      </c>
      <c r="AJ54" s="3">
        <f>N(Setup!$B$18)+SUM(AD$5:AD54)</f>
        <v>0</v>
      </c>
      <c r="AK54" s="3">
        <f>N(Setup!$B$13)+SUM(AE$5:AE54)</f>
        <v>0</v>
      </c>
      <c r="AL54" s="3">
        <f>N(Setup!$B$14)+SUM(AF$5:AF54)</f>
        <v>0</v>
      </c>
      <c r="AM54" s="3">
        <f>N(Setup!$B$19)+SUM(AG$5:AG54)</f>
        <v>0</v>
      </c>
      <c r="AN54" s="3">
        <f>N(Setup!$B$20)+SUM(AH$5:AH54)</f>
        <v>0</v>
      </c>
      <c r="AO54" s="3">
        <f t="shared" si="41"/>
        <v>0</v>
      </c>
      <c r="AP54" s="3">
        <f t="shared" si="42"/>
        <v>0</v>
      </c>
      <c r="AQ54" s="3">
        <f t="shared" si="43"/>
        <v>0</v>
      </c>
      <c r="AR54" s="3">
        <f t="shared" si="44"/>
        <v>0</v>
      </c>
      <c r="AS54" s="3">
        <f t="shared" si="45"/>
        <v>0</v>
      </c>
      <c r="AT54" s="3">
        <f t="shared" si="46"/>
        <v>0</v>
      </c>
      <c r="AU54" s="3">
        <f t="shared" si="47"/>
        <v>0</v>
      </c>
      <c r="AV54" s="3">
        <f t="shared" si="48"/>
        <v>0</v>
      </c>
      <c r="AW54" s="3">
        <f t="shared" si="49"/>
        <v>0</v>
      </c>
      <c r="AX54" s="3">
        <f t="shared" si="50"/>
        <v>0</v>
      </c>
      <c r="AY54" s="3">
        <f t="shared" si="51"/>
        <v>0</v>
      </c>
      <c r="AZ54" t="b">
        <f t="shared" si="52"/>
        <v>0</v>
      </c>
      <c r="BA54" t="b">
        <f>OR(AND(F54="Checking",Setup!$B$8&lt;&gt;"None"),AND(F54="Savings",Setup!$B$8="Combined"))</f>
        <v>0</v>
      </c>
      <c r="BB54" t="b">
        <f>OR(AND(G54="Checking",Setup!$B$8&lt;&gt;"None"),AND(G54="Savings",Setup!$B$8="Combined"))</f>
        <v>0</v>
      </c>
      <c r="BC54" t="b">
        <f t="shared" si="53"/>
        <v>0</v>
      </c>
      <c r="BD54" s="3">
        <f t="shared" si="54"/>
        <v>0</v>
      </c>
    </row>
    <row r="55" spans="1:56" ht="63.95" customHeight="1" x14ac:dyDescent="0.25">
      <c r="A55" s="4"/>
      <c r="B55" s="7"/>
      <c r="C55" s="4"/>
      <c r="D55" s="4"/>
      <c r="E55" s="2"/>
      <c r="F55" s="4"/>
      <c r="G55" s="4"/>
      <c r="H55" s="4"/>
      <c r="I55" s="4"/>
      <c r="J55" s="4"/>
      <c r="K55" s="2"/>
      <c r="L55" s="2"/>
      <c r="M55" s="4"/>
      <c r="N55" s="4"/>
      <c r="O55" s="4"/>
      <c r="P55" s="4"/>
      <c r="Q55" t="str">
        <f>IFERROR(IF(AND(T55=1,SUMPRODUCT(--($B$5:B54&gt;B55),$T$5:T54)&gt;0),"CHECK CASH DATE ORDER",IF(COUNTA(A55:P55)=0,"UNUSED",IF(OR(A55="",NOT(ISNUMBER(B55)),NOT(ISNUMBER(E55)),E55&lt;0,COUNTIF($A$5:$A$64,A55)&lt;&gt;1,AND(C55&lt;&gt;"Confirmed",C55&lt;&gt;"Disputed",C55&lt;&gt;"Expected",C55&lt;&gt;"Historical"),AND(N55&lt;&gt;"Cash + allocation",N55&lt;&gt;"Cash only",N55&lt;&gt;"Allocation only"),LEN(TRIM(P55))=0),"CHECK ID / AMOUNT / STATUS",IF(C55="Expected","EXPECTED — EXCLUDED",IF(C55="Historical",IF(B55&lt;Setup!$B$6,"HISTORICAL — NO CASH","CHECK HISTORICAL DATE"),IF(OR(B55&lt;Setup!$B$6,B55&gt;Setup!$B$7,AND(D55="Expense",OR(AND(F55&lt;&gt;"A",F55&lt;&gt;"B",F55&lt;&gt;"Checking",F55&lt;&gt;"Savings"),G55&lt;&gt;"Merchant")),AND(D55="Refund",OR(F55&lt;&gt;"Merchant",AND(G55&lt;&gt;"A",G55&lt;&gt;"B",G55&lt;&gt;"Checking",G55&lt;&gt;"Savings"))),AND(D55="Contribution",OR(AND(F55&lt;&gt;"A",F55&lt;&gt;"B"),NOT(OR(G55="Checking",G55="Savings")))),AND(D55="ReturnContribution",OR(NOT(OR(F55="Checking",F55="Savings")),AND(G55&lt;&gt;"A",G55&lt;&gt;"B"))),AND(OR(D55="Settlement",D55="PersonalSupport"),OR(AND(M55&lt;&gt;"A",M55&lt;&gt;"B"),IF(M55="A",G55&lt;&gt;"B",G55&lt;&gt;"A"),AND(NOT(OR(F55="Checking",F55="Savings")),F55&lt;&gt;M55))),AND(OR(D55="InternalTransfer",D55="BoundaryTransfer"),OR(NOT(OR(F55="Checking",F55="Savings")),NOT(OR(G55="Checking",G55="Savings")),F55=G55)),AND(D55&lt;&gt;"Expense",D55&lt;&gt;"Refund",D55&lt;&gt;"Contribution",D55&lt;&gt;"ReturnContribution",D55&lt;&gt;"Settlement",D55&lt;&gt;"PersonalSupport",D55&lt;&gt;"InternalTransfer",D55&lt;&gt;"BoundaryTransfer"),AND(Setup!$B$8="None",OR(OR(F55="Checking",F55="Savings"),OR(G55="Checking",G55="Savings"))),AND(Setup!$B$8="Checking",Setup!$B$23&lt;&gt;"Active",OR(F55="Savings",G55="Savings")),AND(T55=1,MIN(AI55:AJ55)&lt; -0.005),AND(N55="Cash only",D55&lt;&gt;"Expense"),AND(N55="Allocation only",D55&lt;&gt;"Expense")),"CHECK CASH / SCOPE","READY")))))),"CHECK INVALID INPUT")</f>
        <v>UNUSED</v>
      </c>
      <c r="R55" t="str">
        <f>IFERROR(IF(AND(C55="Historical",D55="Expense",OR(IFERROR(INDEX(Agreements!$Z$5:$Z$16,MATCH(H55,Agreements!$A$5:$A$16,0)),"MISSING")&lt;&gt;"READY",B55&lt;IFERROR(INDEX(Agreements!$C$5:$C$16,MATCH(H55,Agreements!$A$5:$A$16,0)),0),B55&gt;IFERROR(INDEX(Agreements!$D$5:$D$16,MATCH(H55,Agreements!$A$5:$A$16,0)),0))),"CHECK HISTORICAL AGREEMENT",IF(AND(C55="Confirmed",D55="Refund",AND(IFERROR(INDEX($C$5:$C$64,MATCH(I55,$A$5:$A$64,0)),"")&lt;&gt;"Confirmed",IFERROR(INDEX($C$5:$C$64,MATCH(I55,$A$5:$A$64,0)),"")&lt;&gt;"Historical")),"CHECK REFUND SOURCE STATUS",IF(COUNTA(A55:P55)=0,"UNUSED",IF(OR(C55="Expected",C55="Historical"),"NOT CURRENT",IF(C55="Disputed","DISPUTED — CLOSE PENDING",IF(N55="Cash only",IF(ABS(BD55-E55)&lt;0.005,"READY","CHECK ALLOCATION TOTAL"),IF(OR(D55="Expense",D55="Refund"),IF(OR(IFERROR(INDEX(Agreements!$Z$5:$Z$16,MATCH(H55,Agreements!$A$5:$A$16,0)),0)&lt;&gt;"READY",AND(D55="Expense",OR(B55&lt;IFERROR(INDEX(Agreements!$C$5:$C$16,MATCH(H55,Agreements!$A$5:$A$16,0)),0),B55&gt;IFERROR(INDEX(Agreements!$D$5:$D$16,MATCH(H55,Agreements!$A$5:$A$16,0)),0))),AND(D55="Refund",OR(IFERROR(INDEX($D$5:$D$64,MATCH(I55,$A$5:$A$64,0)),"")&lt;&gt;"Expense",IFERROR(INDEX($H$5:$H$64,MATCH(I55,$A$5:$A$64,0)),"")&lt;&gt;H55,SUMIFS($E$5:$E$64,$I$5:$I$64,I55,$D$5:$D$64,"Refund",$C$5:$C$64,"&lt;&gt;Expected")&gt;N(IFERROR(INDEX($E$5:$E$64,MATCH(I55,$A$5:$A$64,0)),""))+0.005,I55="")),AND(N55="Allocation only",OR(O55="",IFERROR(INDEX($F$5:$F$64,MATCH(O55,$A$5:$A$64,0)),"")&lt;&gt;F55,IFERROR(INDEX($N$5:$N$64,MATCH(O55,$A$5:$A$64,0)),"")&lt;&gt;"Cash only")),AND(Setup!$B$8="Checking",OR(F55="Savings",G55="Savings"))),"CHECK AGREEMENT / REFUND / SCOPE","READY"),"READY"))))))),"CHECK INVALID INPUT")</f>
        <v>UNUSED</v>
      </c>
      <c r="S55" t="str">
        <f t="shared" si="55"/>
        <v>UNUSED</v>
      </c>
      <c r="T55">
        <f t="shared" si="28"/>
        <v>0</v>
      </c>
      <c r="U55">
        <f t="shared" si="29"/>
        <v>0</v>
      </c>
      <c r="V55">
        <f>IFERROR(MATCH(H55,Agreements!$A$5:$A$16,0),0)</f>
        <v>0</v>
      </c>
      <c r="W55" s="6">
        <f>IF(D55="Refund",IFERROR(INDEX(Agreements!$AA$5:$AA$16,MATCH(IFERROR(INDEX($H$5:$H$64,MATCH(I55,$A$5:$A$64,0)),""),Agreements!$A$5:$A$16,0)),0),IFERROR(INDEX(Agreements!$AA$5:$AA$16,MATCH(H55,Agreements!$A$5:$A$16,0)),0))</f>
        <v>0</v>
      </c>
      <c r="X55" s="3">
        <f t="shared" si="30"/>
        <v>0</v>
      </c>
      <c r="Y55" s="3">
        <f t="shared" si="31"/>
        <v>0</v>
      </c>
      <c r="Z55" s="3">
        <f t="shared" si="32"/>
        <v>0</v>
      </c>
      <c r="AA55" s="3">
        <f t="shared" si="33"/>
        <v>0</v>
      </c>
      <c r="AB55" s="3">
        <f t="shared" si="34"/>
        <v>0</v>
      </c>
      <c r="AC55" s="3">
        <f t="shared" si="35"/>
        <v>0</v>
      </c>
      <c r="AD55" s="3">
        <f t="shared" si="36"/>
        <v>0</v>
      </c>
      <c r="AE55" s="3">
        <f t="shared" si="37"/>
        <v>0</v>
      </c>
      <c r="AF55" s="3">
        <f t="shared" si="38"/>
        <v>0</v>
      </c>
      <c r="AG55" s="3">
        <f t="shared" si="39"/>
        <v>0</v>
      </c>
      <c r="AH55" s="3">
        <f t="shared" si="40"/>
        <v>0</v>
      </c>
      <c r="AI55" s="3">
        <f>N(Setup!$B$12)+SUM(AC$5:AC55)</f>
        <v>0</v>
      </c>
      <c r="AJ55" s="3">
        <f>N(Setup!$B$18)+SUM(AD$5:AD55)</f>
        <v>0</v>
      </c>
      <c r="AK55" s="3">
        <f>N(Setup!$B$13)+SUM(AE$5:AE55)</f>
        <v>0</v>
      </c>
      <c r="AL55" s="3">
        <f>N(Setup!$B$14)+SUM(AF$5:AF55)</f>
        <v>0</v>
      </c>
      <c r="AM55" s="3">
        <f>N(Setup!$B$19)+SUM(AG$5:AG55)</f>
        <v>0</v>
      </c>
      <c r="AN55" s="3">
        <f>N(Setup!$B$20)+SUM(AH$5:AH55)</f>
        <v>0</v>
      </c>
      <c r="AO55" s="3">
        <f t="shared" si="41"/>
        <v>0</v>
      </c>
      <c r="AP55" s="3">
        <f t="shared" si="42"/>
        <v>0</v>
      </c>
      <c r="AQ55" s="3">
        <f t="shared" si="43"/>
        <v>0</v>
      </c>
      <c r="AR55" s="3">
        <f t="shared" si="44"/>
        <v>0</v>
      </c>
      <c r="AS55" s="3">
        <f t="shared" si="45"/>
        <v>0</v>
      </c>
      <c r="AT55" s="3">
        <f t="shared" si="46"/>
        <v>0</v>
      </c>
      <c r="AU55" s="3">
        <f t="shared" si="47"/>
        <v>0</v>
      </c>
      <c r="AV55" s="3">
        <f t="shared" si="48"/>
        <v>0</v>
      </c>
      <c r="AW55" s="3">
        <f t="shared" si="49"/>
        <v>0</v>
      </c>
      <c r="AX55" s="3">
        <f t="shared" si="50"/>
        <v>0</v>
      </c>
      <c r="AY55" s="3">
        <f t="shared" si="51"/>
        <v>0</v>
      </c>
      <c r="AZ55" t="b">
        <f t="shared" si="52"/>
        <v>0</v>
      </c>
      <c r="BA55" t="b">
        <f>OR(AND(F55="Checking",Setup!$B$8&lt;&gt;"None"),AND(F55="Savings",Setup!$B$8="Combined"))</f>
        <v>0</v>
      </c>
      <c r="BB55" t="b">
        <f>OR(AND(G55="Checking",Setup!$B$8&lt;&gt;"None"),AND(G55="Savings",Setup!$B$8="Combined"))</f>
        <v>0</v>
      </c>
      <c r="BC55" t="b">
        <f t="shared" si="53"/>
        <v>0</v>
      </c>
      <c r="BD55" s="3">
        <f t="shared" si="54"/>
        <v>0</v>
      </c>
    </row>
    <row r="56" spans="1:56" ht="63.95" customHeight="1" x14ac:dyDescent="0.25">
      <c r="A56" s="4"/>
      <c r="B56" s="7"/>
      <c r="C56" s="4"/>
      <c r="D56" s="4"/>
      <c r="E56" s="2"/>
      <c r="F56" s="4"/>
      <c r="G56" s="4"/>
      <c r="H56" s="4"/>
      <c r="I56" s="4"/>
      <c r="J56" s="4"/>
      <c r="K56" s="2"/>
      <c r="L56" s="2"/>
      <c r="M56" s="4"/>
      <c r="N56" s="4"/>
      <c r="O56" s="4"/>
      <c r="P56" s="4"/>
      <c r="Q56" t="str">
        <f>IFERROR(IF(AND(T56=1,SUMPRODUCT(--($B$5:B55&gt;B56),$T$5:T55)&gt;0),"CHECK CASH DATE ORDER",IF(COUNTA(A56:P56)=0,"UNUSED",IF(OR(A56="",NOT(ISNUMBER(B56)),NOT(ISNUMBER(E56)),E56&lt;0,COUNTIF($A$5:$A$64,A56)&lt;&gt;1,AND(C56&lt;&gt;"Confirmed",C56&lt;&gt;"Disputed",C56&lt;&gt;"Expected",C56&lt;&gt;"Historical"),AND(N56&lt;&gt;"Cash + allocation",N56&lt;&gt;"Cash only",N56&lt;&gt;"Allocation only"),LEN(TRIM(P56))=0),"CHECK ID / AMOUNT / STATUS",IF(C56="Expected","EXPECTED — EXCLUDED",IF(C56="Historical",IF(B56&lt;Setup!$B$6,"HISTORICAL — NO CASH","CHECK HISTORICAL DATE"),IF(OR(B56&lt;Setup!$B$6,B56&gt;Setup!$B$7,AND(D56="Expense",OR(AND(F56&lt;&gt;"A",F56&lt;&gt;"B",F56&lt;&gt;"Checking",F56&lt;&gt;"Savings"),G56&lt;&gt;"Merchant")),AND(D56="Refund",OR(F56&lt;&gt;"Merchant",AND(G56&lt;&gt;"A",G56&lt;&gt;"B",G56&lt;&gt;"Checking",G56&lt;&gt;"Savings"))),AND(D56="Contribution",OR(AND(F56&lt;&gt;"A",F56&lt;&gt;"B"),NOT(OR(G56="Checking",G56="Savings")))),AND(D56="ReturnContribution",OR(NOT(OR(F56="Checking",F56="Savings")),AND(G56&lt;&gt;"A",G56&lt;&gt;"B"))),AND(OR(D56="Settlement",D56="PersonalSupport"),OR(AND(M56&lt;&gt;"A",M56&lt;&gt;"B"),IF(M56="A",G56&lt;&gt;"B",G56&lt;&gt;"A"),AND(NOT(OR(F56="Checking",F56="Savings")),F56&lt;&gt;M56))),AND(OR(D56="InternalTransfer",D56="BoundaryTransfer"),OR(NOT(OR(F56="Checking",F56="Savings")),NOT(OR(G56="Checking",G56="Savings")),F56=G56)),AND(D56&lt;&gt;"Expense",D56&lt;&gt;"Refund",D56&lt;&gt;"Contribution",D56&lt;&gt;"ReturnContribution",D56&lt;&gt;"Settlement",D56&lt;&gt;"PersonalSupport",D56&lt;&gt;"InternalTransfer",D56&lt;&gt;"BoundaryTransfer"),AND(Setup!$B$8="None",OR(OR(F56="Checking",F56="Savings"),OR(G56="Checking",G56="Savings"))),AND(Setup!$B$8="Checking",Setup!$B$23&lt;&gt;"Active",OR(F56="Savings",G56="Savings")),AND(T56=1,MIN(AI56:AJ56)&lt; -0.005),AND(N56="Cash only",D56&lt;&gt;"Expense"),AND(N56="Allocation only",D56&lt;&gt;"Expense")),"CHECK CASH / SCOPE","READY")))))),"CHECK INVALID INPUT")</f>
        <v>UNUSED</v>
      </c>
      <c r="R56" t="str">
        <f>IFERROR(IF(AND(C56="Historical",D56="Expense",OR(IFERROR(INDEX(Agreements!$Z$5:$Z$16,MATCH(H56,Agreements!$A$5:$A$16,0)),"MISSING")&lt;&gt;"READY",B56&lt;IFERROR(INDEX(Agreements!$C$5:$C$16,MATCH(H56,Agreements!$A$5:$A$16,0)),0),B56&gt;IFERROR(INDEX(Agreements!$D$5:$D$16,MATCH(H56,Agreements!$A$5:$A$16,0)),0))),"CHECK HISTORICAL AGREEMENT",IF(AND(C56="Confirmed",D56="Refund",AND(IFERROR(INDEX($C$5:$C$64,MATCH(I56,$A$5:$A$64,0)),"")&lt;&gt;"Confirmed",IFERROR(INDEX($C$5:$C$64,MATCH(I56,$A$5:$A$64,0)),"")&lt;&gt;"Historical")),"CHECK REFUND SOURCE STATUS",IF(COUNTA(A56:P56)=0,"UNUSED",IF(OR(C56="Expected",C56="Historical"),"NOT CURRENT",IF(C56="Disputed","DISPUTED — CLOSE PENDING",IF(N56="Cash only",IF(ABS(BD56-E56)&lt;0.005,"READY","CHECK ALLOCATION TOTAL"),IF(OR(D56="Expense",D56="Refund"),IF(OR(IFERROR(INDEX(Agreements!$Z$5:$Z$16,MATCH(H56,Agreements!$A$5:$A$16,0)),0)&lt;&gt;"READY",AND(D56="Expense",OR(B56&lt;IFERROR(INDEX(Agreements!$C$5:$C$16,MATCH(H56,Agreements!$A$5:$A$16,0)),0),B56&gt;IFERROR(INDEX(Agreements!$D$5:$D$16,MATCH(H56,Agreements!$A$5:$A$16,0)),0))),AND(D56="Refund",OR(IFERROR(INDEX($D$5:$D$64,MATCH(I56,$A$5:$A$64,0)),"")&lt;&gt;"Expense",IFERROR(INDEX($H$5:$H$64,MATCH(I56,$A$5:$A$64,0)),"")&lt;&gt;H56,SUMIFS($E$5:$E$64,$I$5:$I$64,I56,$D$5:$D$64,"Refund",$C$5:$C$64,"&lt;&gt;Expected")&gt;N(IFERROR(INDEX($E$5:$E$64,MATCH(I56,$A$5:$A$64,0)),""))+0.005,I56="")),AND(N56="Allocation only",OR(O56="",IFERROR(INDEX($F$5:$F$64,MATCH(O56,$A$5:$A$64,0)),"")&lt;&gt;F56,IFERROR(INDEX($N$5:$N$64,MATCH(O56,$A$5:$A$64,0)),"")&lt;&gt;"Cash only")),AND(Setup!$B$8="Checking",OR(F56="Savings",G56="Savings"))),"CHECK AGREEMENT / REFUND / SCOPE","READY"),"READY"))))))),"CHECK INVALID INPUT")</f>
        <v>UNUSED</v>
      </c>
      <c r="S56" t="str">
        <f t="shared" si="55"/>
        <v>UNUSED</v>
      </c>
      <c r="T56">
        <f t="shared" si="28"/>
        <v>0</v>
      </c>
      <c r="U56">
        <f t="shared" si="29"/>
        <v>0</v>
      </c>
      <c r="V56">
        <f>IFERROR(MATCH(H56,Agreements!$A$5:$A$16,0),0)</f>
        <v>0</v>
      </c>
      <c r="W56" s="6">
        <f>IF(D56="Refund",IFERROR(INDEX(Agreements!$AA$5:$AA$16,MATCH(IFERROR(INDEX($H$5:$H$64,MATCH(I56,$A$5:$A$64,0)),""),Agreements!$A$5:$A$16,0)),0),IFERROR(INDEX(Agreements!$AA$5:$AA$16,MATCH(H56,Agreements!$A$5:$A$16,0)),0))</f>
        <v>0</v>
      </c>
      <c r="X56" s="3">
        <f t="shared" si="30"/>
        <v>0</v>
      </c>
      <c r="Y56" s="3">
        <f t="shared" si="31"/>
        <v>0</v>
      </c>
      <c r="Z56" s="3">
        <f t="shared" si="32"/>
        <v>0</v>
      </c>
      <c r="AA56" s="3">
        <f t="shared" si="33"/>
        <v>0</v>
      </c>
      <c r="AB56" s="3">
        <f t="shared" si="34"/>
        <v>0</v>
      </c>
      <c r="AC56" s="3">
        <f t="shared" si="35"/>
        <v>0</v>
      </c>
      <c r="AD56" s="3">
        <f t="shared" si="36"/>
        <v>0</v>
      </c>
      <c r="AE56" s="3">
        <f t="shared" si="37"/>
        <v>0</v>
      </c>
      <c r="AF56" s="3">
        <f t="shared" si="38"/>
        <v>0</v>
      </c>
      <c r="AG56" s="3">
        <f t="shared" si="39"/>
        <v>0</v>
      </c>
      <c r="AH56" s="3">
        <f t="shared" si="40"/>
        <v>0</v>
      </c>
      <c r="AI56" s="3">
        <f>N(Setup!$B$12)+SUM(AC$5:AC56)</f>
        <v>0</v>
      </c>
      <c r="AJ56" s="3">
        <f>N(Setup!$B$18)+SUM(AD$5:AD56)</f>
        <v>0</v>
      </c>
      <c r="AK56" s="3">
        <f>N(Setup!$B$13)+SUM(AE$5:AE56)</f>
        <v>0</v>
      </c>
      <c r="AL56" s="3">
        <f>N(Setup!$B$14)+SUM(AF$5:AF56)</f>
        <v>0</v>
      </c>
      <c r="AM56" s="3">
        <f>N(Setup!$B$19)+SUM(AG$5:AG56)</f>
        <v>0</v>
      </c>
      <c r="AN56" s="3">
        <f>N(Setup!$B$20)+SUM(AH$5:AH56)</f>
        <v>0</v>
      </c>
      <c r="AO56" s="3">
        <f t="shared" si="41"/>
        <v>0</v>
      </c>
      <c r="AP56" s="3">
        <f t="shared" si="42"/>
        <v>0</v>
      </c>
      <c r="AQ56" s="3">
        <f t="shared" si="43"/>
        <v>0</v>
      </c>
      <c r="AR56" s="3">
        <f t="shared" si="44"/>
        <v>0</v>
      </c>
      <c r="AS56" s="3">
        <f t="shared" si="45"/>
        <v>0</v>
      </c>
      <c r="AT56" s="3">
        <f t="shared" si="46"/>
        <v>0</v>
      </c>
      <c r="AU56" s="3">
        <f t="shared" si="47"/>
        <v>0</v>
      </c>
      <c r="AV56" s="3">
        <f t="shared" si="48"/>
        <v>0</v>
      </c>
      <c r="AW56" s="3">
        <f t="shared" si="49"/>
        <v>0</v>
      </c>
      <c r="AX56" s="3">
        <f t="shared" si="50"/>
        <v>0</v>
      </c>
      <c r="AY56" s="3">
        <f t="shared" si="51"/>
        <v>0</v>
      </c>
      <c r="AZ56" t="b">
        <f t="shared" si="52"/>
        <v>0</v>
      </c>
      <c r="BA56" t="b">
        <f>OR(AND(F56="Checking",Setup!$B$8&lt;&gt;"None"),AND(F56="Savings",Setup!$B$8="Combined"))</f>
        <v>0</v>
      </c>
      <c r="BB56" t="b">
        <f>OR(AND(G56="Checking",Setup!$B$8&lt;&gt;"None"),AND(G56="Savings",Setup!$B$8="Combined"))</f>
        <v>0</v>
      </c>
      <c r="BC56" t="b">
        <f t="shared" si="53"/>
        <v>0</v>
      </c>
      <c r="BD56" s="3">
        <f t="shared" si="54"/>
        <v>0</v>
      </c>
    </row>
    <row r="57" spans="1:56" ht="63.95" customHeight="1" x14ac:dyDescent="0.25">
      <c r="A57" s="4"/>
      <c r="B57" s="7"/>
      <c r="C57" s="4"/>
      <c r="D57" s="4"/>
      <c r="E57" s="2"/>
      <c r="F57" s="4"/>
      <c r="G57" s="4"/>
      <c r="H57" s="4"/>
      <c r="I57" s="4"/>
      <c r="J57" s="4"/>
      <c r="K57" s="2"/>
      <c r="L57" s="2"/>
      <c r="M57" s="4"/>
      <c r="N57" s="4"/>
      <c r="O57" s="4"/>
      <c r="P57" s="4"/>
      <c r="Q57" t="str">
        <f>IFERROR(IF(AND(T57=1,SUMPRODUCT(--($B$5:B56&gt;B57),$T$5:T56)&gt;0),"CHECK CASH DATE ORDER",IF(COUNTA(A57:P57)=0,"UNUSED",IF(OR(A57="",NOT(ISNUMBER(B57)),NOT(ISNUMBER(E57)),E57&lt;0,COUNTIF($A$5:$A$64,A57)&lt;&gt;1,AND(C57&lt;&gt;"Confirmed",C57&lt;&gt;"Disputed",C57&lt;&gt;"Expected",C57&lt;&gt;"Historical"),AND(N57&lt;&gt;"Cash + allocation",N57&lt;&gt;"Cash only",N57&lt;&gt;"Allocation only"),LEN(TRIM(P57))=0),"CHECK ID / AMOUNT / STATUS",IF(C57="Expected","EXPECTED — EXCLUDED",IF(C57="Historical",IF(B57&lt;Setup!$B$6,"HISTORICAL — NO CASH","CHECK HISTORICAL DATE"),IF(OR(B57&lt;Setup!$B$6,B57&gt;Setup!$B$7,AND(D57="Expense",OR(AND(F57&lt;&gt;"A",F57&lt;&gt;"B",F57&lt;&gt;"Checking",F57&lt;&gt;"Savings"),G57&lt;&gt;"Merchant")),AND(D57="Refund",OR(F57&lt;&gt;"Merchant",AND(G57&lt;&gt;"A",G57&lt;&gt;"B",G57&lt;&gt;"Checking",G57&lt;&gt;"Savings"))),AND(D57="Contribution",OR(AND(F57&lt;&gt;"A",F57&lt;&gt;"B"),NOT(OR(G57="Checking",G57="Savings")))),AND(D57="ReturnContribution",OR(NOT(OR(F57="Checking",F57="Savings")),AND(G57&lt;&gt;"A",G57&lt;&gt;"B"))),AND(OR(D57="Settlement",D57="PersonalSupport"),OR(AND(M57&lt;&gt;"A",M57&lt;&gt;"B"),IF(M57="A",G57&lt;&gt;"B",G57&lt;&gt;"A"),AND(NOT(OR(F57="Checking",F57="Savings")),F57&lt;&gt;M57))),AND(OR(D57="InternalTransfer",D57="BoundaryTransfer"),OR(NOT(OR(F57="Checking",F57="Savings")),NOT(OR(G57="Checking",G57="Savings")),F57=G57)),AND(D57&lt;&gt;"Expense",D57&lt;&gt;"Refund",D57&lt;&gt;"Contribution",D57&lt;&gt;"ReturnContribution",D57&lt;&gt;"Settlement",D57&lt;&gt;"PersonalSupport",D57&lt;&gt;"InternalTransfer",D57&lt;&gt;"BoundaryTransfer"),AND(Setup!$B$8="None",OR(OR(F57="Checking",F57="Savings"),OR(G57="Checking",G57="Savings"))),AND(Setup!$B$8="Checking",Setup!$B$23&lt;&gt;"Active",OR(F57="Savings",G57="Savings")),AND(T57=1,MIN(AI57:AJ57)&lt; -0.005),AND(N57="Cash only",D57&lt;&gt;"Expense"),AND(N57="Allocation only",D57&lt;&gt;"Expense")),"CHECK CASH / SCOPE","READY")))))),"CHECK INVALID INPUT")</f>
        <v>UNUSED</v>
      </c>
      <c r="R57" t="str">
        <f>IFERROR(IF(AND(C57="Historical",D57="Expense",OR(IFERROR(INDEX(Agreements!$Z$5:$Z$16,MATCH(H57,Agreements!$A$5:$A$16,0)),"MISSING")&lt;&gt;"READY",B57&lt;IFERROR(INDEX(Agreements!$C$5:$C$16,MATCH(H57,Agreements!$A$5:$A$16,0)),0),B57&gt;IFERROR(INDEX(Agreements!$D$5:$D$16,MATCH(H57,Agreements!$A$5:$A$16,0)),0))),"CHECK HISTORICAL AGREEMENT",IF(AND(C57="Confirmed",D57="Refund",AND(IFERROR(INDEX($C$5:$C$64,MATCH(I57,$A$5:$A$64,0)),"")&lt;&gt;"Confirmed",IFERROR(INDEX($C$5:$C$64,MATCH(I57,$A$5:$A$64,0)),"")&lt;&gt;"Historical")),"CHECK REFUND SOURCE STATUS",IF(COUNTA(A57:P57)=0,"UNUSED",IF(OR(C57="Expected",C57="Historical"),"NOT CURRENT",IF(C57="Disputed","DISPUTED — CLOSE PENDING",IF(N57="Cash only",IF(ABS(BD57-E57)&lt;0.005,"READY","CHECK ALLOCATION TOTAL"),IF(OR(D57="Expense",D57="Refund"),IF(OR(IFERROR(INDEX(Agreements!$Z$5:$Z$16,MATCH(H57,Agreements!$A$5:$A$16,0)),0)&lt;&gt;"READY",AND(D57="Expense",OR(B57&lt;IFERROR(INDEX(Agreements!$C$5:$C$16,MATCH(H57,Agreements!$A$5:$A$16,0)),0),B57&gt;IFERROR(INDEX(Agreements!$D$5:$D$16,MATCH(H57,Agreements!$A$5:$A$16,0)),0))),AND(D57="Refund",OR(IFERROR(INDEX($D$5:$D$64,MATCH(I57,$A$5:$A$64,0)),"")&lt;&gt;"Expense",IFERROR(INDEX($H$5:$H$64,MATCH(I57,$A$5:$A$64,0)),"")&lt;&gt;H57,SUMIFS($E$5:$E$64,$I$5:$I$64,I57,$D$5:$D$64,"Refund",$C$5:$C$64,"&lt;&gt;Expected")&gt;N(IFERROR(INDEX($E$5:$E$64,MATCH(I57,$A$5:$A$64,0)),""))+0.005,I57="")),AND(N57="Allocation only",OR(O57="",IFERROR(INDEX($F$5:$F$64,MATCH(O57,$A$5:$A$64,0)),"")&lt;&gt;F57,IFERROR(INDEX($N$5:$N$64,MATCH(O57,$A$5:$A$64,0)),"")&lt;&gt;"Cash only")),AND(Setup!$B$8="Checking",OR(F57="Savings",G57="Savings"))),"CHECK AGREEMENT / REFUND / SCOPE","READY"),"READY"))))))),"CHECK INVALID INPUT")</f>
        <v>UNUSED</v>
      </c>
      <c r="S57" t="str">
        <f t="shared" si="55"/>
        <v>UNUSED</v>
      </c>
      <c r="T57">
        <f t="shared" si="28"/>
        <v>0</v>
      </c>
      <c r="U57">
        <f t="shared" si="29"/>
        <v>0</v>
      </c>
      <c r="V57">
        <f>IFERROR(MATCH(H57,Agreements!$A$5:$A$16,0),0)</f>
        <v>0</v>
      </c>
      <c r="W57" s="6">
        <f>IF(D57="Refund",IFERROR(INDEX(Agreements!$AA$5:$AA$16,MATCH(IFERROR(INDEX($H$5:$H$64,MATCH(I57,$A$5:$A$64,0)),""),Agreements!$A$5:$A$16,0)),0),IFERROR(INDEX(Agreements!$AA$5:$AA$16,MATCH(H57,Agreements!$A$5:$A$16,0)),0))</f>
        <v>0</v>
      </c>
      <c r="X57" s="3">
        <f t="shared" si="30"/>
        <v>0</v>
      </c>
      <c r="Y57" s="3">
        <f t="shared" si="31"/>
        <v>0</v>
      </c>
      <c r="Z57" s="3">
        <f t="shared" si="32"/>
        <v>0</v>
      </c>
      <c r="AA57" s="3">
        <f t="shared" si="33"/>
        <v>0</v>
      </c>
      <c r="AB57" s="3">
        <f t="shared" si="34"/>
        <v>0</v>
      </c>
      <c r="AC57" s="3">
        <f t="shared" si="35"/>
        <v>0</v>
      </c>
      <c r="AD57" s="3">
        <f t="shared" si="36"/>
        <v>0</v>
      </c>
      <c r="AE57" s="3">
        <f t="shared" si="37"/>
        <v>0</v>
      </c>
      <c r="AF57" s="3">
        <f t="shared" si="38"/>
        <v>0</v>
      </c>
      <c r="AG57" s="3">
        <f t="shared" si="39"/>
        <v>0</v>
      </c>
      <c r="AH57" s="3">
        <f t="shared" si="40"/>
        <v>0</v>
      </c>
      <c r="AI57" s="3">
        <f>N(Setup!$B$12)+SUM(AC$5:AC57)</f>
        <v>0</v>
      </c>
      <c r="AJ57" s="3">
        <f>N(Setup!$B$18)+SUM(AD$5:AD57)</f>
        <v>0</v>
      </c>
      <c r="AK57" s="3">
        <f>N(Setup!$B$13)+SUM(AE$5:AE57)</f>
        <v>0</v>
      </c>
      <c r="AL57" s="3">
        <f>N(Setup!$B$14)+SUM(AF$5:AF57)</f>
        <v>0</v>
      </c>
      <c r="AM57" s="3">
        <f>N(Setup!$B$19)+SUM(AG$5:AG57)</f>
        <v>0</v>
      </c>
      <c r="AN57" s="3">
        <f>N(Setup!$B$20)+SUM(AH$5:AH57)</f>
        <v>0</v>
      </c>
      <c r="AO57" s="3">
        <f t="shared" si="41"/>
        <v>0</v>
      </c>
      <c r="AP57" s="3">
        <f t="shared" si="42"/>
        <v>0</v>
      </c>
      <c r="AQ57" s="3">
        <f t="shared" si="43"/>
        <v>0</v>
      </c>
      <c r="AR57" s="3">
        <f t="shared" si="44"/>
        <v>0</v>
      </c>
      <c r="AS57" s="3">
        <f t="shared" si="45"/>
        <v>0</v>
      </c>
      <c r="AT57" s="3">
        <f t="shared" si="46"/>
        <v>0</v>
      </c>
      <c r="AU57" s="3">
        <f t="shared" si="47"/>
        <v>0</v>
      </c>
      <c r="AV57" s="3">
        <f t="shared" si="48"/>
        <v>0</v>
      </c>
      <c r="AW57" s="3">
        <f t="shared" si="49"/>
        <v>0</v>
      </c>
      <c r="AX57" s="3">
        <f t="shared" si="50"/>
        <v>0</v>
      </c>
      <c r="AY57" s="3">
        <f t="shared" si="51"/>
        <v>0</v>
      </c>
      <c r="AZ57" t="b">
        <f t="shared" si="52"/>
        <v>0</v>
      </c>
      <c r="BA57" t="b">
        <f>OR(AND(F57="Checking",Setup!$B$8&lt;&gt;"None"),AND(F57="Savings",Setup!$B$8="Combined"))</f>
        <v>0</v>
      </c>
      <c r="BB57" t="b">
        <f>OR(AND(G57="Checking",Setup!$B$8&lt;&gt;"None"),AND(G57="Savings",Setup!$B$8="Combined"))</f>
        <v>0</v>
      </c>
      <c r="BC57" t="b">
        <f t="shared" si="53"/>
        <v>0</v>
      </c>
      <c r="BD57" s="3">
        <f t="shared" si="54"/>
        <v>0</v>
      </c>
    </row>
    <row r="58" spans="1:56" ht="63.95" customHeight="1" x14ac:dyDescent="0.25">
      <c r="A58" s="4"/>
      <c r="B58" s="7"/>
      <c r="C58" s="4"/>
      <c r="D58" s="4"/>
      <c r="E58" s="2"/>
      <c r="F58" s="4"/>
      <c r="G58" s="4"/>
      <c r="H58" s="4"/>
      <c r="I58" s="4"/>
      <c r="J58" s="4"/>
      <c r="K58" s="2"/>
      <c r="L58" s="2"/>
      <c r="M58" s="4"/>
      <c r="N58" s="4"/>
      <c r="O58" s="4"/>
      <c r="P58" s="4"/>
      <c r="Q58" t="str">
        <f>IFERROR(IF(AND(T58=1,SUMPRODUCT(--($B$5:B57&gt;B58),$T$5:T57)&gt;0),"CHECK CASH DATE ORDER",IF(COUNTA(A58:P58)=0,"UNUSED",IF(OR(A58="",NOT(ISNUMBER(B58)),NOT(ISNUMBER(E58)),E58&lt;0,COUNTIF($A$5:$A$64,A58)&lt;&gt;1,AND(C58&lt;&gt;"Confirmed",C58&lt;&gt;"Disputed",C58&lt;&gt;"Expected",C58&lt;&gt;"Historical"),AND(N58&lt;&gt;"Cash + allocation",N58&lt;&gt;"Cash only",N58&lt;&gt;"Allocation only"),LEN(TRIM(P58))=0),"CHECK ID / AMOUNT / STATUS",IF(C58="Expected","EXPECTED — EXCLUDED",IF(C58="Historical",IF(B58&lt;Setup!$B$6,"HISTORICAL — NO CASH","CHECK HISTORICAL DATE"),IF(OR(B58&lt;Setup!$B$6,B58&gt;Setup!$B$7,AND(D58="Expense",OR(AND(F58&lt;&gt;"A",F58&lt;&gt;"B",F58&lt;&gt;"Checking",F58&lt;&gt;"Savings"),G58&lt;&gt;"Merchant")),AND(D58="Refund",OR(F58&lt;&gt;"Merchant",AND(G58&lt;&gt;"A",G58&lt;&gt;"B",G58&lt;&gt;"Checking",G58&lt;&gt;"Savings"))),AND(D58="Contribution",OR(AND(F58&lt;&gt;"A",F58&lt;&gt;"B"),NOT(OR(G58="Checking",G58="Savings")))),AND(D58="ReturnContribution",OR(NOT(OR(F58="Checking",F58="Savings")),AND(G58&lt;&gt;"A",G58&lt;&gt;"B"))),AND(OR(D58="Settlement",D58="PersonalSupport"),OR(AND(M58&lt;&gt;"A",M58&lt;&gt;"B"),IF(M58="A",G58&lt;&gt;"B",G58&lt;&gt;"A"),AND(NOT(OR(F58="Checking",F58="Savings")),F58&lt;&gt;M58))),AND(OR(D58="InternalTransfer",D58="BoundaryTransfer"),OR(NOT(OR(F58="Checking",F58="Savings")),NOT(OR(G58="Checking",G58="Savings")),F58=G58)),AND(D58&lt;&gt;"Expense",D58&lt;&gt;"Refund",D58&lt;&gt;"Contribution",D58&lt;&gt;"ReturnContribution",D58&lt;&gt;"Settlement",D58&lt;&gt;"PersonalSupport",D58&lt;&gt;"InternalTransfer",D58&lt;&gt;"BoundaryTransfer"),AND(Setup!$B$8="None",OR(OR(F58="Checking",F58="Savings"),OR(G58="Checking",G58="Savings"))),AND(Setup!$B$8="Checking",Setup!$B$23&lt;&gt;"Active",OR(F58="Savings",G58="Savings")),AND(T58=1,MIN(AI58:AJ58)&lt; -0.005),AND(N58="Cash only",D58&lt;&gt;"Expense"),AND(N58="Allocation only",D58&lt;&gt;"Expense")),"CHECK CASH / SCOPE","READY")))))),"CHECK INVALID INPUT")</f>
        <v>UNUSED</v>
      </c>
      <c r="R58" t="str">
        <f>IFERROR(IF(AND(C58="Historical",D58="Expense",OR(IFERROR(INDEX(Agreements!$Z$5:$Z$16,MATCH(H58,Agreements!$A$5:$A$16,0)),"MISSING")&lt;&gt;"READY",B58&lt;IFERROR(INDEX(Agreements!$C$5:$C$16,MATCH(H58,Agreements!$A$5:$A$16,0)),0),B58&gt;IFERROR(INDEX(Agreements!$D$5:$D$16,MATCH(H58,Agreements!$A$5:$A$16,0)),0))),"CHECK HISTORICAL AGREEMENT",IF(AND(C58="Confirmed",D58="Refund",AND(IFERROR(INDEX($C$5:$C$64,MATCH(I58,$A$5:$A$64,0)),"")&lt;&gt;"Confirmed",IFERROR(INDEX($C$5:$C$64,MATCH(I58,$A$5:$A$64,0)),"")&lt;&gt;"Historical")),"CHECK REFUND SOURCE STATUS",IF(COUNTA(A58:P58)=0,"UNUSED",IF(OR(C58="Expected",C58="Historical"),"NOT CURRENT",IF(C58="Disputed","DISPUTED — CLOSE PENDING",IF(N58="Cash only",IF(ABS(BD58-E58)&lt;0.005,"READY","CHECK ALLOCATION TOTAL"),IF(OR(D58="Expense",D58="Refund"),IF(OR(IFERROR(INDEX(Agreements!$Z$5:$Z$16,MATCH(H58,Agreements!$A$5:$A$16,0)),0)&lt;&gt;"READY",AND(D58="Expense",OR(B58&lt;IFERROR(INDEX(Agreements!$C$5:$C$16,MATCH(H58,Agreements!$A$5:$A$16,0)),0),B58&gt;IFERROR(INDEX(Agreements!$D$5:$D$16,MATCH(H58,Agreements!$A$5:$A$16,0)),0))),AND(D58="Refund",OR(IFERROR(INDEX($D$5:$D$64,MATCH(I58,$A$5:$A$64,0)),"")&lt;&gt;"Expense",IFERROR(INDEX($H$5:$H$64,MATCH(I58,$A$5:$A$64,0)),"")&lt;&gt;H58,SUMIFS($E$5:$E$64,$I$5:$I$64,I58,$D$5:$D$64,"Refund",$C$5:$C$64,"&lt;&gt;Expected")&gt;N(IFERROR(INDEX($E$5:$E$64,MATCH(I58,$A$5:$A$64,0)),""))+0.005,I58="")),AND(N58="Allocation only",OR(O58="",IFERROR(INDEX($F$5:$F$64,MATCH(O58,$A$5:$A$64,0)),"")&lt;&gt;F58,IFERROR(INDEX($N$5:$N$64,MATCH(O58,$A$5:$A$64,0)),"")&lt;&gt;"Cash only")),AND(Setup!$B$8="Checking",OR(F58="Savings",G58="Savings"))),"CHECK AGREEMENT / REFUND / SCOPE","READY"),"READY"))))))),"CHECK INVALID INPUT")</f>
        <v>UNUSED</v>
      </c>
      <c r="S58" t="str">
        <f t="shared" si="55"/>
        <v>UNUSED</v>
      </c>
      <c r="T58">
        <f t="shared" si="28"/>
        <v>0</v>
      </c>
      <c r="U58">
        <f t="shared" si="29"/>
        <v>0</v>
      </c>
      <c r="V58">
        <f>IFERROR(MATCH(H58,Agreements!$A$5:$A$16,0),0)</f>
        <v>0</v>
      </c>
      <c r="W58" s="6">
        <f>IF(D58="Refund",IFERROR(INDEX(Agreements!$AA$5:$AA$16,MATCH(IFERROR(INDEX($H$5:$H$64,MATCH(I58,$A$5:$A$64,0)),""),Agreements!$A$5:$A$16,0)),0),IFERROR(INDEX(Agreements!$AA$5:$AA$16,MATCH(H58,Agreements!$A$5:$A$16,0)),0))</f>
        <v>0</v>
      </c>
      <c r="X58" s="3">
        <f t="shared" si="30"/>
        <v>0</v>
      </c>
      <c r="Y58" s="3">
        <f t="shared" si="31"/>
        <v>0</v>
      </c>
      <c r="Z58" s="3">
        <f t="shared" si="32"/>
        <v>0</v>
      </c>
      <c r="AA58" s="3">
        <f t="shared" si="33"/>
        <v>0</v>
      </c>
      <c r="AB58" s="3">
        <f t="shared" si="34"/>
        <v>0</v>
      </c>
      <c r="AC58" s="3">
        <f t="shared" si="35"/>
        <v>0</v>
      </c>
      <c r="AD58" s="3">
        <f t="shared" si="36"/>
        <v>0</v>
      </c>
      <c r="AE58" s="3">
        <f t="shared" si="37"/>
        <v>0</v>
      </c>
      <c r="AF58" s="3">
        <f t="shared" si="38"/>
        <v>0</v>
      </c>
      <c r="AG58" s="3">
        <f t="shared" si="39"/>
        <v>0</v>
      </c>
      <c r="AH58" s="3">
        <f t="shared" si="40"/>
        <v>0</v>
      </c>
      <c r="AI58" s="3">
        <f>N(Setup!$B$12)+SUM(AC$5:AC58)</f>
        <v>0</v>
      </c>
      <c r="AJ58" s="3">
        <f>N(Setup!$B$18)+SUM(AD$5:AD58)</f>
        <v>0</v>
      </c>
      <c r="AK58" s="3">
        <f>N(Setup!$B$13)+SUM(AE$5:AE58)</f>
        <v>0</v>
      </c>
      <c r="AL58" s="3">
        <f>N(Setup!$B$14)+SUM(AF$5:AF58)</f>
        <v>0</v>
      </c>
      <c r="AM58" s="3">
        <f>N(Setup!$B$19)+SUM(AG$5:AG58)</f>
        <v>0</v>
      </c>
      <c r="AN58" s="3">
        <f>N(Setup!$B$20)+SUM(AH$5:AH58)</f>
        <v>0</v>
      </c>
      <c r="AO58" s="3">
        <f t="shared" si="41"/>
        <v>0</v>
      </c>
      <c r="AP58" s="3">
        <f t="shared" si="42"/>
        <v>0</v>
      </c>
      <c r="AQ58" s="3">
        <f t="shared" si="43"/>
        <v>0</v>
      </c>
      <c r="AR58" s="3">
        <f t="shared" si="44"/>
        <v>0</v>
      </c>
      <c r="AS58" s="3">
        <f t="shared" si="45"/>
        <v>0</v>
      </c>
      <c r="AT58" s="3">
        <f t="shared" si="46"/>
        <v>0</v>
      </c>
      <c r="AU58" s="3">
        <f t="shared" si="47"/>
        <v>0</v>
      </c>
      <c r="AV58" s="3">
        <f t="shared" si="48"/>
        <v>0</v>
      </c>
      <c r="AW58" s="3">
        <f t="shared" si="49"/>
        <v>0</v>
      </c>
      <c r="AX58" s="3">
        <f t="shared" si="50"/>
        <v>0</v>
      </c>
      <c r="AY58" s="3">
        <f t="shared" si="51"/>
        <v>0</v>
      </c>
      <c r="AZ58" t="b">
        <f t="shared" si="52"/>
        <v>0</v>
      </c>
      <c r="BA58" t="b">
        <f>OR(AND(F58="Checking",Setup!$B$8&lt;&gt;"None"),AND(F58="Savings",Setup!$B$8="Combined"))</f>
        <v>0</v>
      </c>
      <c r="BB58" t="b">
        <f>OR(AND(G58="Checking",Setup!$B$8&lt;&gt;"None"),AND(G58="Savings",Setup!$B$8="Combined"))</f>
        <v>0</v>
      </c>
      <c r="BC58" t="b">
        <f t="shared" si="53"/>
        <v>0</v>
      </c>
      <c r="BD58" s="3">
        <f t="shared" si="54"/>
        <v>0</v>
      </c>
    </row>
    <row r="59" spans="1:56" ht="63.95" customHeight="1" x14ac:dyDescent="0.25">
      <c r="A59" s="4"/>
      <c r="B59" s="7"/>
      <c r="C59" s="4"/>
      <c r="D59" s="4"/>
      <c r="E59" s="2"/>
      <c r="F59" s="4"/>
      <c r="G59" s="4"/>
      <c r="H59" s="4"/>
      <c r="I59" s="4"/>
      <c r="J59" s="4"/>
      <c r="K59" s="2"/>
      <c r="L59" s="2"/>
      <c r="M59" s="4"/>
      <c r="N59" s="4"/>
      <c r="O59" s="4"/>
      <c r="P59" s="4"/>
      <c r="Q59" t="str">
        <f>IFERROR(IF(AND(T59=1,SUMPRODUCT(--($B$5:B58&gt;B59),$T$5:T58)&gt;0),"CHECK CASH DATE ORDER",IF(COUNTA(A59:P59)=0,"UNUSED",IF(OR(A59="",NOT(ISNUMBER(B59)),NOT(ISNUMBER(E59)),E59&lt;0,COUNTIF($A$5:$A$64,A59)&lt;&gt;1,AND(C59&lt;&gt;"Confirmed",C59&lt;&gt;"Disputed",C59&lt;&gt;"Expected",C59&lt;&gt;"Historical"),AND(N59&lt;&gt;"Cash + allocation",N59&lt;&gt;"Cash only",N59&lt;&gt;"Allocation only"),LEN(TRIM(P59))=0),"CHECK ID / AMOUNT / STATUS",IF(C59="Expected","EXPECTED — EXCLUDED",IF(C59="Historical",IF(B59&lt;Setup!$B$6,"HISTORICAL — NO CASH","CHECK HISTORICAL DATE"),IF(OR(B59&lt;Setup!$B$6,B59&gt;Setup!$B$7,AND(D59="Expense",OR(AND(F59&lt;&gt;"A",F59&lt;&gt;"B",F59&lt;&gt;"Checking",F59&lt;&gt;"Savings"),G59&lt;&gt;"Merchant")),AND(D59="Refund",OR(F59&lt;&gt;"Merchant",AND(G59&lt;&gt;"A",G59&lt;&gt;"B",G59&lt;&gt;"Checking",G59&lt;&gt;"Savings"))),AND(D59="Contribution",OR(AND(F59&lt;&gt;"A",F59&lt;&gt;"B"),NOT(OR(G59="Checking",G59="Savings")))),AND(D59="ReturnContribution",OR(NOT(OR(F59="Checking",F59="Savings")),AND(G59&lt;&gt;"A",G59&lt;&gt;"B"))),AND(OR(D59="Settlement",D59="PersonalSupport"),OR(AND(M59&lt;&gt;"A",M59&lt;&gt;"B"),IF(M59="A",G59&lt;&gt;"B",G59&lt;&gt;"A"),AND(NOT(OR(F59="Checking",F59="Savings")),F59&lt;&gt;M59))),AND(OR(D59="InternalTransfer",D59="BoundaryTransfer"),OR(NOT(OR(F59="Checking",F59="Savings")),NOT(OR(G59="Checking",G59="Savings")),F59=G59)),AND(D59&lt;&gt;"Expense",D59&lt;&gt;"Refund",D59&lt;&gt;"Contribution",D59&lt;&gt;"ReturnContribution",D59&lt;&gt;"Settlement",D59&lt;&gt;"PersonalSupport",D59&lt;&gt;"InternalTransfer",D59&lt;&gt;"BoundaryTransfer"),AND(Setup!$B$8="None",OR(OR(F59="Checking",F59="Savings"),OR(G59="Checking",G59="Savings"))),AND(Setup!$B$8="Checking",Setup!$B$23&lt;&gt;"Active",OR(F59="Savings",G59="Savings")),AND(T59=1,MIN(AI59:AJ59)&lt; -0.005),AND(N59="Cash only",D59&lt;&gt;"Expense"),AND(N59="Allocation only",D59&lt;&gt;"Expense")),"CHECK CASH / SCOPE","READY")))))),"CHECK INVALID INPUT")</f>
        <v>UNUSED</v>
      </c>
      <c r="R59" t="str">
        <f>IFERROR(IF(AND(C59="Historical",D59="Expense",OR(IFERROR(INDEX(Agreements!$Z$5:$Z$16,MATCH(H59,Agreements!$A$5:$A$16,0)),"MISSING")&lt;&gt;"READY",B59&lt;IFERROR(INDEX(Agreements!$C$5:$C$16,MATCH(H59,Agreements!$A$5:$A$16,0)),0),B59&gt;IFERROR(INDEX(Agreements!$D$5:$D$16,MATCH(H59,Agreements!$A$5:$A$16,0)),0))),"CHECK HISTORICAL AGREEMENT",IF(AND(C59="Confirmed",D59="Refund",AND(IFERROR(INDEX($C$5:$C$64,MATCH(I59,$A$5:$A$64,0)),"")&lt;&gt;"Confirmed",IFERROR(INDEX($C$5:$C$64,MATCH(I59,$A$5:$A$64,0)),"")&lt;&gt;"Historical")),"CHECK REFUND SOURCE STATUS",IF(COUNTA(A59:P59)=0,"UNUSED",IF(OR(C59="Expected",C59="Historical"),"NOT CURRENT",IF(C59="Disputed","DISPUTED — CLOSE PENDING",IF(N59="Cash only",IF(ABS(BD59-E59)&lt;0.005,"READY","CHECK ALLOCATION TOTAL"),IF(OR(D59="Expense",D59="Refund"),IF(OR(IFERROR(INDEX(Agreements!$Z$5:$Z$16,MATCH(H59,Agreements!$A$5:$A$16,0)),0)&lt;&gt;"READY",AND(D59="Expense",OR(B59&lt;IFERROR(INDEX(Agreements!$C$5:$C$16,MATCH(H59,Agreements!$A$5:$A$16,0)),0),B59&gt;IFERROR(INDEX(Agreements!$D$5:$D$16,MATCH(H59,Agreements!$A$5:$A$16,0)),0))),AND(D59="Refund",OR(IFERROR(INDEX($D$5:$D$64,MATCH(I59,$A$5:$A$64,0)),"")&lt;&gt;"Expense",IFERROR(INDEX($H$5:$H$64,MATCH(I59,$A$5:$A$64,0)),"")&lt;&gt;H59,SUMIFS($E$5:$E$64,$I$5:$I$64,I59,$D$5:$D$64,"Refund",$C$5:$C$64,"&lt;&gt;Expected")&gt;N(IFERROR(INDEX($E$5:$E$64,MATCH(I59,$A$5:$A$64,0)),""))+0.005,I59="")),AND(N59="Allocation only",OR(O59="",IFERROR(INDEX($F$5:$F$64,MATCH(O59,$A$5:$A$64,0)),"")&lt;&gt;F59,IFERROR(INDEX($N$5:$N$64,MATCH(O59,$A$5:$A$64,0)),"")&lt;&gt;"Cash only")),AND(Setup!$B$8="Checking",OR(F59="Savings",G59="Savings"))),"CHECK AGREEMENT / REFUND / SCOPE","READY"),"READY"))))))),"CHECK INVALID INPUT")</f>
        <v>UNUSED</v>
      </c>
      <c r="S59" t="str">
        <f t="shared" si="55"/>
        <v>UNUSED</v>
      </c>
      <c r="T59">
        <f t="shared" si="28"/>
        <v>0</v>
      </c>
      <c r="U59">
        <f t="shared" si="29"/>
        <v>0</v>
      </c>
      <c r="V59">
        <f>IFERROR(MATCH(H59,Agreements!$A$5:$A$16,0),0)</f>
        <v>0</v>
      </c>
      <c r="W59" s="6">
        <f>IF(D59="Refund",IFERROR(INDEX(Agreements!$AA$5:$AA$16,MATCH(IFERROR(INDEX($H$5:$H$64,MATCH(I59,$A$5:$A$64,0)),""),Agreements!$A$5:$A$16,0)),0),IFERROR(INDEX(Agreements!$AA$5:$AA$16,MATCH(H59,Agreements!$A$5:$A$16,0)),0))</f>
        <v>0</v>
      </c>
      <c r="X59" s="3">
        <f t="shared" si="30"/>
        <v>0</v>
      </c>
      <c r="Y59" s="3">
        <f t="shared" si="31"/>
        <v>0</v>
      </c>
      <c r="Z59" s="3">
        <f t="shared" si="32"/>
        <v>0</v>
      </c>
      <c r="AA59" s="3">
        <f t="shared" si="33"/>
        <v>0</v>
      </c>
      <c r="AB59" s="3">
        <f t="shared" si="34"/>
        <v>0</v>
      </c>
      <c r="AC59" s="3">
        <f t="shared" si="35"/>
        <v>0</v>
      </c>
      <c r="AD59" s="3">
        <f t="shared" si="36"/>
        <v>0</v>
      </c>
      <c r="AE59" s="3">
        <f t="shared" si="37"/>
        <v>0</v>
      </c>
      <c r="AF59" s="3">
        <f t="shared" si="38"/>
        <v>0</v>
      </c>
      <c r="AG59" s="3">
        <f t="shared" si="39"/>
        <v>0</v>
      </c>
      <c r="AH59" s="3">
        <f t="shared" si="40"/>
        <v>0</v>
      </c>
      <c r="AI59" s="3">
        <f>N(Setup!$B$12)+SUM(AC$5:AC59)</f>
        <v>0</v>
      </c>
      <c r="AJ59" s="3">
        <f>N(Setup!$B$18)+SUM(AD$5:AD59)</f>
        <v>0</v>
      </c>
      <c r="AK59" s="3">
        <f>N(Setup!$B$13)+SUM(AE$5:AE59)</f>
        <v>0</v>
      </c>
      <c r="AL59" s="3">
        <f>N(Setup!$B$14)+SUM(AF$5:AF59)</f>
        <v>0</v>
      </c>
      <c r="AM59" s="3">
        <f>N(Setup!$B$19)+SUM(AG$5:AG59)</f>
        <v>0</v>
      </c>
      <c r="AN59" s="3">
        <f>N(Setup!$B$20)+SUM(AH$5:AH59)</f>
        <v>0</v>
      </c>
      <c r="AO59" s="3">
        <f t="shared" si="41"/>
        <v>0</v>
      </c>
      <c r="AP59" s="3">
        <f t="shared" si="42"/>
        <v>0</v>
      </c>
      <c r="AQ59" s="3">
        <f t="shared" si="43"/>
        <v>0</v>
      </c>
      <c r="AR59" s="3">
        <f t="shared" si="44"/>
        <v>0</v>
      </c>
      <c r="AS59" s="3">
        <f t="shared" si="45"/>
        <v>0</v>
      </c>
      <c r="AT59" s="3">
        <f t="shared" si="46"/>
        <v>0</v>
      </c>
      <c r="AU59" s="3">
        <f t="shared" si="47"/>
        <v>0</v>
      </c>
      <c r="AV59" s="3">
        <f t="shared" si="48"/>
        <v>0</v>
      </c>
      <c r="AW59" s="3">
        <f t="shared" si="49"/>
        <v>0</v>
      </c>
      <c r="AX59" s="3">
        <f t="shared" si="50"/>
        <v>0</v>
      </c>
      <c r="AY59" s="3">
        <f t="shared" si="51"/>
        <v>0</v>
      </c>
      <c r="AZ59" t="b">
        <f t="shared" si="52"/>
        <v>0</v>
      </c>
      <c r="BA59" t="b">
        <f>OR(AND(F59="Checking",Setup!$B$8&lt;&gt;"None"),AND(F59="Savings",Setup!$B$8="Combined"))</f>
        <v>0</v>
      </c>
      <c r="BB59" t="b">
        <f>OR(AND(G59="Checking",Setup!$B$8&lt;&gt;"None"),AND(G59="Savings",Setup!$B$8="Combined"))</f>
        <v>0</v>
      </c>
      <c r="BC59" t="b">
        <f t="shared" si="53"/>
        <v>0</v>
      </c>
      <c r="BD59" s="3">
        <f t="shared" si="54"/>
        <v>0</v>
      </c>
    </row>
    <row r="60" spans="1:56" ht="63.95" customHeight="1" x14ac:dyDescent="0.25">
      <c r="A60" s="4"/>
      <c r="B60" s="7"/>
      <c r="C60" s="4"/>
      <c r="D60" s="4"/>
      <c r="E60" s="2"/>
      <c r="F60" s="4"/>
      <c r="G60" s="4"/>
      <c r="H60" s="4"/>
      <c r="I60" s="4"/>
      <c r="J60" s="4"/>
      <c r="K60" s="2"/>
      <c r="L60" s="2"/>
      <c r="M60" s="4"/>
      <c r="N60" s="4"/>
      <c r="O60" s="4"/>
      <c r="P60" s="4"/>
      <c r="Q60" t="str">
        <f>IFERROR(IF(AND(T60=1,SUMPRODUCT(--($B$5:B59&gt;B60),$T$5:T59)&gt;0),"CHECK CASH DATE ORDER",IF(COUNTA(A60:P60)=0,"UNUSED",IF(OR(A60="",NOT(ISNUMBER(B60)),NOT(ISNUMBER(E60)),E60&lt;0,COUNTIF($A$5:$A$64,A60)&lt;&gt;1,AND(C60&lt;&gt;"Confirmed",C60&lt;&gt;"Disputed",C60&lt;&gt;"Expected",C60&lt;&gt;"Historical"),AND(N60&lt;&gt;"Cash + allocation",N60&lt;&gt;"Cash only",N60&lt;&gt;"Allocation only"),LEN(TRIM(P60))=0),"CHECK ID / AMOUNT / STATUS",IF(C60="Expected","EXPECTED — EXCLUDED",IF(C60="Historical",IF(B60&lt;Setup!$B$6,"HISTORICAL — NO CASH","CHECK HISTORICAL DATE"),IF(OR(B60&lt;Setup!$B$6,B60&gt;Setup!$B$7,AND(D60="Expense",OR(AND(F60&lt;&gt;"A",F60&lt;&gt;"B",F60&lt;&gt;"Checking",F60&lt;&gt;"Savings"),G60&lt;&gt;"Merchant")),AND(D60="Refund",OR(F60&lt;&gt;"Merchant",AND(G60&lt;&gt;"A",G60&lt;&gt;"B",G60&lt;&gt;"Checking",G60&lt;&gt;"Savings"))),AND(D60="Contribution",OR(AND(F60&lt;&gt;"A",F60&lt;&gt;"B"),NOT(OR(G60="Checking",G60="Savings")))),AND(D60="ReturnContribution",OR(NOT(OR(F60="Checking",F60="Savings")),AND(G60&lt;&gt;"A",G60&lt;&gt;"B"))),AND(OR(D60="Settlement",D60="PersonalSupport"),OR(AND(M60&lt;&gt;"A",M60&lt;&gt;"B"),IF(M60="A",G60&lt;&gt;"B",G60&lt;&gt;"A"),AND(NOT(OR(F60="Checking",F60="Savings")),F60&lt;&gt;M60))),AND(OR(D60="InternalTransfer",D60="BoundaryTransfer"),OR(NOT(OR(F60="Checking",F60="Savings")),NOT(OR(G60="Checking",G60="Savings")),F60=G60)),AND(D60&lt;&gt;"Expense",D60&lt;&gt;"Refund",D60&lt;&gt;"Contribution",D60&lt;&gt;"ReturnContribution",D60&lt;&gt;"Settlement",D60&lt;&gt;"PersonalSupport",D60&lt;&gt;"InternalTransfer",D60&lt;&gt;"BoundaryTransfer"),AND(Setup!$B$8="None",OR(OR(F60="Checking",F60="Savings"),OR(G60="Checking",G60="Savings"))),AND(Setup!$B$8="Checking",Setup!$B$23&lt;&gt;"Active",OR(F60="Savings",G60="Savings")),AND(T60=1,MIN(AI60:AJ60)&lt; -0.005),AND(N60="Cash only",D60&lt;&gt;"Expense"),AND(N60="Allocation only",D60&lt;&gt;"Expense")),"CHECK CASH / SCOPE","READY")))))),"CHECK INVALID INPUT")</f>
        <v>UNUSED</v>
      </c>
      <c r="R60" t="str">
        <f>IFERROR(IF(AND(C60="Historical",D60="Expense",OR(IFERROR(INDEX(Agreements!$Z$5:$Z$16,MATCH(H60,Agreements!$A$5:$A$16,0)),"MISSING")&lt;&gt;"READY",B60&lt;IFERROR(INDEX(Agreements!$C$5:$C$16,MATCH(H60,Agreements!$A$5:$A$16,0)),0),B60&gt;IFERROR(INDEX(Agreements!$D$5:$D$16,MATCH(H60,Agreements!$A$5:$A$16,0)),0))),"CHECK HISTORICAL AGREEMENT",IF(AND(C60="Confirmed",D60="Refund",AND(IFERROR(INDEX($C$5:$C$64,MATCH(I60,$A$5:$A$64,0)),"")&lt;&gt;"Confirmed",IFERROR(INDEX($C$5:$C$64,MATCH(I60,$A$5:$A$64,0)),"")&lt;&gt;"Historical")),"CHECK REFUND SOURCE STATUS",IF(COUNTA(A60:P60)=0,"UNUSED",IF(OR(C60="Expected",C60="Historical"),"NOT CURRENT",IF(C60="Disputed","DISPUTED — CLOSE PENDING",IF(N60="Cash only",IF(ABS(BD60-E60)&lt;0.005,"READY","CHECK ALLOCATION TOTAL"),IF(OR(D60="Expense",D60="Refund"),IF(OR(IFERROR(INDEX(Agreements!$Z$5:$Z$16,MATCH(H60,Agreements!$A$5:$A$16,0)),0)&lt;&gt;"READY",AND(D60="Expense",OR(B60&lt;IFERROR(INDEX(Agreements!$C$5:$C$16,MATCH(H60,Agreements!$A$5:$A$16,0)),0),B60&gt;IFERROR(INDEX(Agreements!$D$5:$D$16,MATCH(H60,Agreements!$A$5:$A$16,0)),0))),AND(D60="Refund",OR(IFERROR(INDEX($D$5:$D$64,MATCH(I60,$A$5:$A$64,0)),"")&lt;&gt;"Expense",IFERROR(INDEX($H$5:$H$64,MATCH(I60,$A$5:$A$64,0)),"")&lt;&gt;H60,SUMIFS($E$5:$E$64,$I$5:$I$64,I60,$D$5:$D$64,"Refund",$C$5:$C$64,"&lt;&gt;Expected")&gt;N(IFERROR(INDEX($E$5:$E$64,MATCH(I60,$A$5:$A$64,0)),""))+0.005,I60="")),AND(N60="Allocation only",OR(O60="",IFERROR(INDEX($F$5:$F$64,MATCH(O60,$A$5:$A$64,0)),"")&lt;&gt;F60,IFERROR(INDEX($N$5:$N$64,MATCH(O60,$A$5:$A$64,0)),"")&lt;&gt;"Cash only")),AND(Setup!$B$8="Checking",OR(F60="Savings",G60="Savings"))),"CHECK AGREEMENT / REFUND / SCOPE","READY"),"READY"))))))),"CHECK INVALID INPUT")</f>
        <v>UNUSED</v>
      </c>
      <c r="S60" t="str">
        <f t="shared" si="55"/>
        <v>UNUSED</v>
      </c>
      <c r="T60">
        <f t="shared" si="28"/>
        <v>0</v>
      </c>
      <c r="U60">
        <f t="shared" si="29"/>
        <v>0</v>
      </c>
      <c r="V60">
        <f>IFERROR(MATCH(H60,Agreements!$A$5:$A$16,0),0)</f>
        <v>0</v>
      </c>
      <c r="W60" s="6">
        <f>IF(D60="Refund",IFERROR(INDEX(Agreements!$AA$5:$AA$16,MATCH(IFERROR(INDEX($H$5:$H$64,MATCH(I60,$A$5:$A$64,0)),""),Agreements!$A$5:$A$16,0)),0),IFERROR(INDEX(Agreements!$AA$5:$AA$16,MATCH(H60,Agreements!$A$5:$A$16,0)),0))</f>
        <v>0</v>
      </c>
      <c r="X60" s="3">
        <f t="shared" si="30"/>
        <v>0</v>
      </c>
      <c r="Y60" s="3">
        <f t="shared" si="31"/>
        <v>0</v>
      </c>
      <c r="Z60" s="3">
        <f t="shared" si="32"/>
        <v>0</v>
      </c>
      <c r="AA60" s="3">
        <f t="shared" si="33"/>
        <v>0</v>
      </c>
      <c r="AB60" s="3">
        <f t="shared" si="34"/>
        <v>0</v>
      </c>
      <c r="AC60" s="3">
        <f t="shared" si="35"/>
        <v>0</v>
      </c>
      <c r="AD60" s="3">
        <f t="shared" si="36"/>
        <v>0</v>
      </c>
      <c r="AE60" s="3">
        <f t="shared" si="37"/>
        <v>0</v>
      </c>
      <c r="AF60" s="3">
        <f t="shared" si="38"/>
        <v>0</v>
      </c>
      <c r="AG60" s="3">
        <f t="shared" si="39"/>
        <v>0</v>
      </c>
      <c r="AH60" s="3">
        <f t="shared" si="40"/>
        <v>0</v>
      </c>
      <c r="AI60" s="3">
        <f>N(Setup!$B$12)+SUM(AC$5:AC60)</f>
        <v>0</v>
      </c>
      <c r="AJ60" s="3">
        <f>N(Setup!$B$18)+SUM(AD$5:AD60)</f>
        <v>0</v>
      </c>
      <c r="AK60" s="3">
        <f>N(Setup!$B$13)+SUM(AE$5:AE60)</f>
        <v>0</v>
      </c>
      <c r="AL60" s="3">
        <f>N(Setup!$B$14)+SUM(AF$5:AF60)</f>
        <v>0</v>
      </c>
      <c r="AM60" s="3">
        <f>N(Setup!$B$19)+SUM(AG$5:AG60)</f>
        <v>0</v>
      </c>
      <c r="AN60" s="3">
        <f>N(Setup!$B$20)+SUM(AH$5:AH60)</f>
        <v>0</v>
      </c>
      <c r="AO60" s="3">
        <f t="shared" si="41"/>
        <v>0</v>
      </c>
      <c r="AP60" s="3">
        <f t="shared" si="42"/>
        <v>0</v>
      </c>
      <c r="AQ60" s="3">
        <f t="shared" si="43"/>
        <v>0</v>
      </c>
      <c r="AR60" s="3">
        <f t="shared" si="44"/>
        <v>0</v>
      </c>
      <c r="AS60" s="3">
        <f t="shared" si="45"/>
        <v>0</v>
      </c>
      <c r="AT60" s="3">
        <f t="shared" si="46"/>
        <v>0</v>
      </c>
      <c r="AU60" s="3">
        <f t="shared" si="47"/>
        <v>0</v>
      </c>
      <c r="AV60" s="3">
        <f t="shared" si="48"/>
        <v>0</v>
      </c>
      <c r="AW60" s="3">
        <f t="shared" si="49"/>
        <v>0</v>
      </c>
      <c r="AX60" s="3">
        <f t="shared" si="50"/>
        <v>0</v>
      </c>
      <c r="AY60" s="3">
        <f t="shared" si="51"/>
        <v>0</v>
      </c>
      <c r="AZ60" t="b">
        <f t="shared" si="52"/>
        <v>0</v>
      </c>
      <c r="BA60" t="b">
        <f>OR(AND(F60="Checking",Setup!$B$8&lt;&gt;"None"),AND(F60="Savings",Setup!$B$8="Combined"))</f>
        <v>0</v>
      </c>
      <c r="BB60" t="b">
        <f>OR(AND(G60="Checking",Setup!$B$8&lt;&gt;"None"),AND(G60="Savings",Setup!$B$8="Combined"))</f>
        <v>0</v>
      </c>
      <c r="BC60" t="b">
        <f t="shared" si="53"/>
        <v>0</v>
      </c>
      <c r="BD60" s="3">
        <f t="shared" si="54"/>
        <v>0</v>
      </c>
    </row>
    <row r="61" spans="1:56" ht="63.95" customHeight="1" x14ac:dyDescent="0.25">
      <c r="A61" s="4"/>
      <c r="B61" s="7"/>
      <c r="C61" s="4"/>
      <c r="D61" s="4"/>
      <c r="E61" s="2"/>
      <c r="F61" s="4"/>
      <c r="G61" s="4"/>
      <c r="H61" s="4"/>
      <c r="I61" s="4"/>
      <c r="J61" s="4"/>
      <c r="K61" s="2"/>
      <c r="L61" s="2"/>
      <c r="M61" s="4"/>
      <c r="N61" s="4"/>
      <c r="O61" s="4"/>
      <c r="P61" s="4"/>
      <c r="Q61" t="str">
        <f>IFERROR(IF(AND(T61=1,SUMPRODUCT(--($B$5:B60&gt;B61),$T$5:T60)&gt;0),"CHECK CASH DATE ORDER",IF(COUNTA(A61:P61)=0,"UNUSED",IF(OR(A61="",NOT(ISNUMBER(B61)),NOT(ISNUMBER(E61)),E61&lt;0,COUNTIF($A$5:$A$64,A61)&lt;&gt;1,AND(C61&lt;&gt;"Confirmed",C61&lt;&gt;"Disputed",C61&lt;&gt;"Expected",C61&lt;&gt;"Historical"),AND(N61&lt;&gt;"Cash + allocation",N61&lt;&gt;"Cash only",N61&lt;&gt;"Allocation only"),LEN(TRIM(P61))=0),"CHECK ID / AMOUNT / STATUS",IF(C61="Expected","EXPECTED — EXCLUDED",IF(C61="Historical",IF(B61&lt;Setup!$B$6,"HISTORICAL — NO CASH","CHECK HISTORICAL DATE"),IF(OR(B61&lt;Setup!$B$6,B61&gt;Setup!$B$7,AND(D61="Expense",OR(AND(F61&lt;&gt;"A",F61&lt;&gt;"B",F61&lt;&gt;"Checking",F61&lt;&gt;"Savings"),G61&lt;&gt;"Merchant")),AND(D61="Refund",OR(F61&lt;&gt;"Merchant",AND(G61&lt;&gt;"A",G61&lt;&gt;"B",G61&lt;&gt;"Checking",G61&lt;&gt;"Savings"))),AND(D61="Contribution",OR(AND(F61&lt;&gt;"A",F61&lt;&gt;"B"),NOT(OR(G61="Checking",G61="Savings")))),AND(D61="ReturnContribution",OR(NOT(OR(F61="Checking",F61="Savings")),AND(G61&lt;&gt;"A",G61&lt;&gt;"B"))),AND(OR(D61="Settlement",D61="PersonalSupport"),OR(AND(M61&lt;&gt;"A",M61&lt;&gt;"B"),IF(M61="A",G61&lt;&gt;"B",G61&lt;&gt;"A"),AND(NOT(OR(F61="Checking",F61="Savings")),F61&lt;&gt;M61))),AND(OR(D61="InternalTransfer",D61="BoundaryTransfer"),OR(NOT(OR(F61="Checking",F61="Savings")),NOT(OR(G61="Checking",G61="Savings")),F61=G61)),AND(D61&lt;&gt;"Expense",D61&lt;&gt;"Refund",D61&lt;&gt;"Contribution",D61&lt;&gt;"ReturnContribution",D61&lt;&gt;"Settlement",D61&lt;&gt;"PersonalSupport",D61&lt;&gt;"InternalTransfer",D61&lt;&gt;"BoundaryTransfer"),AND(Setup!$B$8="None",OR(OR(F61="Checking",F61="Savings"),OR(G61="Checking",G61="Savings"))),AND(Setup!$B$8="Checking",Setup!$B$23&lt;&gt;"Active",OR(F61="Savings",G61="Savings")),AND(T61=1,MIN(AI61:AJ61)&lt; -0.005),AND(N61="Cash only",D61&lt;&gt;"Expense"),AND(N61="Allocation only",D61&lt;&gt;"Expense")),"CHECK CASH / SCOPE","READY")))))),"CHECK INVALID INPUT")</f>
        <v>UNUSED</v>
      </c>
      <c r="R61" t="str">
        <f>IFERROR(IF(AND(C61="Historical",D61="Expense",OR(IFERROR(INDEX(Agreements!$Z$5:$Z$16,MATCH(H61,Agreements!$A$5:$A$16,0)),"MISSING")&lt;&gt;"READY",B61&lt;IFERROR(INDEX(Agreements!$C$5:$C$16,MATCH(H61,Agreements!$A$5:$A$16,0)),0),B61&gt;IFERROR(INDEX(Agreements!$D$5:$D$16,MATCH(H61,Agreements!$A$5:$A$16,0)),0))),"CHECK HISTORICAL AGREEMENT",IF(AND(C61="Confirmed",D61="Refund",AND(IFERROR(INDEX($C$5:$C$64,MATCH(I61,$A$5:$A$64,0)),"")&lt;&gt;"Confirmed",IFERROR(INDEX($C$5:$C$64,MATCH(I61,$A$5:$A$64,0)),"")&lt;&gt;"Historical")),"CHECK REFUND SOURCE STATUS",IF(COUNTA(A61:P61)=0,"UNUSED",IF(OR(C61="Expected",C61="Historical"),"NOT CURRENT",IF(C61="Disputed","DISPUTED — CLOSE PENDING",IF(N61="Cash only",IF(ABS(BD61-E61)&lt;0.005,"READY","CHECK ALLOCATION TOTAL"),IF(OR(D61="Expense",D61="Refund"),IF(OR(IFERROR(INDEX(Agreements!$Z$5:$Z$16,MATCH(H61,Agreements!$A$5:$A$16,0)),0)&lt;&gt;"READY",AND(D61="Expense",OR(B61&lt;IFERROR(INDEX(Agreements!$C$5:$C$16,MATCH(H61,Agreements!$A$5:$A$16,0)),0),B61&gt;IFERROR(INDEX(Agreements!$D$5:$D$16,MATCH(H61,Agreements!$A$5:$A$16,0)),0))),AND(D61="Refund",OR(IFERROR(INDEX($D$5:$D$64,MATCH(I61,$A$5:$A$64,0)),"")&lt;&gt;"Expense",IFERROR(INDEX($H$5:$H$64,MATCH(I61,$A$5:$A$64,0)),"")&lt;&gt;H61,SUMIFS($E$5:$E$64,$I$5:$I$64,I61,$D$5:$D$64,"Refund",$C$5:$C$64,"&lt;&gt;Expected")&gt;N(IFERROR(INDEX($E$5:$E$64,MATCH(I61,$A$5:$A$64,0)),""))+0.005,I61="")),AND(N61="Allocation only",OR(O61="",IFERROR(INDEX($F$5:$F$64,MATCH(O61,$A$5:$A$64,0)),"")&lt;&gt;F61,IFERROR(INDEX($N$5:$N$64,MATCH(O61,$A$5:$A$64,0)),"")&lt;&gt;"Cash only")),AND(Setup!$B$8="Checking",OR(F61="Savings",G61="Savings"))),"CHECK AGREEMENT / REFUND / SCOPE","READY"),"READY"))))))),"CHECK INVALID INPUT")</f>
        <v>UNUSED</v>
      </c>
      <c r="S61" t="str">
        <f t="shared" si="55"/>
        <v>UNUSED</v>
      </c>
      <c r="T61">
        <f t="shared" si="28"/>
        <v>0</v>
      </c>
      <c r="U61">
        <f t="shared" si="29"/>
        <v>0</v>
      </c>
      <c r="V61">
        <f>IFERROR(MATCH(H61,Agreements!$A$5:$A$16,0),0)</f>
        <v>0</v>
      </c>
      <c r="W61" s="6">
        <f>IF(D61="Refund",IFERROR(INDEX(Agreements!$AA$5:$AA$16,MATCH(IFERROR(INDEX($H$5:$H$64,MATCH(I61,$A$5:$A$64,0)),""),Agreements!$A$5:$A$16,0)),0),IFERROR(INDEX(Agreements!$AA$5:$AA$16,MATCH(H61,Agreements!$A$5:$A$16,0)),0))</f>
        <v>0</v>
      </c>
      <c r="X61" s="3">
        <f t="shared" si="30"/>
        <v>0</v>
      </c>
      <c r="Y61" s="3">
        <f t="shared" si="31"/>
        <v>0</v>
      </c>
      <c r="Z61" s="3">
        <f t="shared" si="32"/>
        <v>0</v>
      </c>
      <c r="AA61" s="3">
        <f t="shared" si="33"/>
        <v>0</v>
      </c>
      <c r="AB61" s="3">
        <f t="shared" si="34"/>
        <v>0</v>
      </c>
      <c r="AC61" s="3">
        <f t="shared" si="35"/>
        <v>0</v>
      </c>
      <c r="AD61" s="3">
        <f t="shared" si="36"/>
        <v>0</v>
      </c>
      <c r="AE61" s="3">
        <f t="shared" si="37"/>
        <v>0</v>
      </c>
      <c r="AF61" s="3">
        <f t="shared" si="38"/>
        <v>0</v>
      </c>
      <c r="AG61" s="3">
        <f t="shared" si="39"/>
        <v>0</v>
      </c>
      <c r="AH61" s="3">
        <f t="shared" si="40"/>
        <v>0</v>
      </c>
      <c r="AI61" s="3">
        <f>N(Setup!$B$12)+SUM(AC$5:AC61)</f>
        <v>0</v>
      </c>
      <c r="AJ61" s="3">
        <f>N(Setup!$B$18)+SUM(AD$5:AD61)</f>
        <v>0</v>
      </c>
      <c r="AK61" s="3">
        <f>N(Setup!$B$13)+SUM(AE$5:AE61)</f>
        <v>0</v>
      </c>
      <c r="AL61" s="3">
        <f>N(Setup!$B$14)+SUM(AF$5:AF61)</f>
        <v>0</v>
      </c>
      <c r="AM61" s="3">
        <f>N(Setup!$B$19)+SUM(AG$5:AG61)</f>
        <v>0</v>
      </c>
      <c r="AN61" s="3">
        <f>N(Setup!$B$20)+SUM(AH$5:AH61)</f>
        <v>0</v>
      </c>
      <c r="AO61" s="3">
        <f t="shared" si="41"/>
        <v>0</v>
      </c>
      <c r="AP61" s="3">
        <f t="shared" si="42"/>
        <v>0</v>
      </c>
      <c r="AQ61" s="3">
        <f t="shared" si="43"/>
        <v>0</v>
      </c>
      <c r="AR61" s="3">
        <f t="shared" si="44"/>
        <v>0</v>
      </c>
      <c r="AS61" s="3">
        <f t="shared" si="45"/>
        <v>0</v>
      </c>
      <c r="AT61" s="3">
        <f t="shared" si="46"/>
        <v>0</v>
      </c>
      <c r="AU61" s="3">
        <f t="shared" si="47"/>
        <v>0</v>
      </c>
      <c r="AV61" s="3">
        <f t="shared" si="48"/>
        <v>0</v>
      </c>
      <c r="AW61" s="3">
        <f t="shared" si="49"/>
        <v>0</v>
      </c>
      <c r="AX61" s="3">
        <f t="shared" si="50"/>
        <v>0</v>
      </c>
      <c r="AY61" s="3">
        <f t="shared" si="51"/>
        <v>0</v>
      </c>
      <c r="AZ61" t="b">
        <f t="shared" si="52"/>
        <v>0</v>
      </c>
      <c r="BA61" t="b">
        <f>OR(AND(F61="Checking",Setup!$B$8&lt;&gt;"None"),AND(F61="Savings",Setup!$B$8="Combined"))</f>
        <v>0</v>
      </c>
      <c r="BB61" t="b">
        <f>OR(AND(G61="Checking",Setup!$B$8&lt;&gt;"None"),AND(G61="Savings",Setup!$B$8="Combined"))</f>
        <v>0</v>
      </c>
      <c r="BC61" t="b">
        <f t="shared" si="53"/>
        <v>0</v>
      </c>
      <c r="BD61" s="3">
        <f t="shared" si="54"/>
        <v>0</v>
      </c>
    </row>
    <row r="62" spans="1:56" ht="63.95" customHeight="1" x14ac:dyDescent="0.25">
      <c r="A62" s="4"/>
      <c r="B62" s="7"/>
      <c r="C62" s="4"/>
      <c r="D62" s="4"/>
      <c r="E62" s="2"/>
      <c r="F62" s="4"/>
      <c r="G62" s="4"/>
      <c r="H62" s="4"/>
      <c r="I62" s="4"/>
      <c r="J62" s="4"/>
      <c r="K62" s="2"/>
      <c r="L62" s="2"/>
      <c r="M62" s="4"/>
      <c r="N62" s="4"/>
      <c r="O62" s="4"/>
      <c r="P62" s="4"/>
      <c r="Q62" t="str">
        <f>IFERROR(IF(AND(T62=1,SUMPRODUCT(--($B$5:B61&gt;B62),$T$5:T61)&gt;0),"CHECK CASH DATE ORDER",IF(COUNTA(A62:P62)=0,"UNUSED",IF(OR(A62="",NOT(ISNUMBER(B62)),NOT(ISNUMBER(E62)),E62&lt;0,COUNTIF($A$5:$A$64,A62)&lt;&gt;1,AND(C62&lt;&gt;"Confirmed",C62&lt;&gt;"Disputed",C62&lt;&gt;"Expected",C62&lt;&gt;"Historical"),AND(N62&lt;&gt;"Cash + allocation",N62&lt;&gt;"Cash only",N62&lt;&gt;"Allocation only"),LEN(TRIM(P62))=0),"CHECK ID / AMOUNT / STATUS",IF(C62="Expected","EXPECTED — EXCLUDED",IF(C62="Historical",IF(B62&lt;Setup!$B$6,"HISTORICAL — NO CASH","CHECK HISTORICAL DATE"),IF(OR(B62&lt;Setup!$B$6,B62&gt;Setup!$B$7,AND(D62="Expense",OR(AND(F62&lt;&gt;"A",F62&lt;&gt;"B",F62&lt;&gt;"Checking",F62&lt;&gt;"Savings"),G62&lt;&gt;"Merchant")),AND(D62="Refund",OR(F62&lt;&gt;"Merchant",AND(G62&lt;&gt;"A",G62&lt;&gt;"B",G62&lt;&gt;"Checking",G62&lt;&gt;"Savings"))),AND(D62="Contribution",OR(AND(F62&lt;&gt;"A",F62&lt;&gt;"B"),NOT(OR(G62="Checking",G62="Savings")))),AND(D62="ReturnContribution",OR(NOT(OR(F62="Checking",F62="Savings")),AND(G62&lt;&gt;"A",G62&lt;&gt;"B"))),AND(OR(D62="Settlement",D62="PersonalSupport"),OR(AND(M62&lt;&gt;"A",M62&lt;&gt;"B"),IF(M62="A",G62&lt;&gt;"B",G62&lt;&gt;"A"),AND(NOT(OR(F62="Checking",F62="Savings")),F62&lt;&gt;M62))),AND(OR(D62="InternalTransfer",D62="BoundaryTransfer"),OR(NOT(OR(F62="Checking",F62="Savings")),NOT(OR(G62="Checking",G62="Savings")),F62=G62)),AND(D62&lt;&gt;"Expense",D62&lt;&gt;"Refund",D62&lt;&gt;"Contribution",D62&lt;&gt;"ReturnContribution",D62&lt;&gt;"Settlement",D62&lt;&gt;"PersonalSupport",D62&lt;&gt;"InternalTransfer",D62&lt;&gt;"BoundaryTransfer"),AND(Setup!$B$8="None",OR(OR(F62="Checking",F62="Savings"),OR(G62="Checking",G62="Savings"))),AND(Setup!$B$8="Checking",Setup!$B$23&lt;&gt;"Active",OR(F62="Savings",G62="Savings")),AND(T62=1,MIN(AI62:AJ62)&lt; -0.005),AND(N62="Cash only",D62&lt;&gt;"Expense"),AND(N62="Allocation only",D62&lt;&gt;"Expense")),"CHECK CASH / SCOPE","READY")))))),"CHECK INVALID INPUT")</f>
        <v>UNUSED</v>
      </c>
      <c r="R62" t="str">
        <f>IFERROR(IF(AND(C62="Historical",D62="Expense",OR(IFERROR(INDEX(Agreements!$Z$5:$Z$16,MATCH(H62,Agreements!$A$5:$A$16,0)),"MISSING")&lt;&gt;"READY",B62&lt;IFERROR(INDEX(Agreements!$C$5:$C$16,MATCH(H62,Agreements!$A$5:$A$16,0)),0),B62&gt;IFERROR(INDEX(Agreements!$D$5:$D$16,MATCH(H62,Agreements!$A$5:$A$16,0)),0))),"CHECK HISTORICAL AGREEMENT",IF(AND(C62="Confirmed",D62="Refund",AND(IFERROR(INDEX($C$5:$C$64,MATCH(I62,$A$5:$A$64,0)),"")&lt;&gt;"Confirmed",IFERROR(INDEX($C$5:$C$64,MATCH(I62,$A$5:$A$64,0)),"")&lt;&gt;"Historical")),"CHECK REFUND SOURCE STATUS",IF(COUNTA(A62:P62)=0,"UNUSED",IF(OR(C62="Expected",C62="Historical"),"NOT CURRENT",IF(C62="Disputed","DISPUTED — CLOSE PENDING",IF(N62="Cash only",IF(ABS(BD62-E62)&lt;0.005,"READY","CHECK ALLOCATION TOTAL"),IF(OR(D62="Expense",D62="Refund"),IF(OR(IFERROR(INDEX(Agreements!$Z$5:$Z$16,MATCH(H62,Agreements!$A$5:$A$16,0)),0)&lt;&gt;"READY",AND(D62="Expense",OR(B62&lt;IFERROR(INDEX(Agreements!$C$5:$C$16,MATCH(H62,Agreements!$A$5:$A$16,0)),0),B62&gt;IFERROR(INDEX(Agreements!$D$5:$D$16,MATCH(H62,Agreements!$A$5:$A$16,0)),0))),AND(D62="Refund",OR(IFERROR(INDEX($D$5:$D$64,MATCH(I62,$A$5:$A$64,0)),"")&lt;&gt;"Expense",IFERROR(INDEX($H$5:$H$64,MATCH(I62,$A$5:$A$64,0)),"")&lt;&gt;H62,SUMIFS($E$5:$E$64,$I$5:$I$64,I62,$D$5:$D$64,"Refund",$C$5:$C$64,"&lt;&gt;Expected")&gt;N(IFERROR(INDEX($E$5:$E$64,MATCH(I62,$A$5:$A$64,0)),""))+0.005,I62="")),AND(N62="Allocation only",OR(O62="",IFERROR(INDEX($F$5:$F$64,MATCH(O62,$A$5:$A$64,0)),"")&lt;&gt;F62,IFERROR(INDEX($N$5:$N$64,MATCH(O62,$A$5:$A$64,0)),"")&lt;&gt;"Cash only")),AND(Setup!$B$8="Checking",OR(F62="Savings",G62="Savings"))),"CHECK AGREEMENT / REFUND / SCOPE","READY"),"READY"))))))),"CHECK INVALID INPUT")</f>
        <v>UNUSED</v>
      </c>
      <c r="S62" t="str">
        <f t="shared" si="55"/>
        <v>UNUSED</v>
      </c>
      <c r="T62">
        <f t="shared" si="28"/>
        <v>0</v>
      </c>
      <c r="U62">
        <f t="shared" si="29"/>
        <v>0</v>
      </c>
      <c r="V62">
        <f>IFERROR(MATCH(H62,Agreements!$A$5:$A$16,0),0)</f>
        <v>0</v>
      </c>
      <c r="W62" s="6">
        <f>IF(D62="Refund",IFERROR(INDEX(Agreements!$AA$5:$AA$16,MATCH(IFERROR(INDEX($H$5:$H$64,MATCH(I62,$A$5:$A$64,0)),""),Agreements!$A$5:$A$16,0)),0),IFERROR(INDEX(Agreements!$AA$5:$AA$16,MATCH(H62,Agreements!$A$5:$A$16,0)),0))</f>
        <v>0</v>
      </c>
      <c r="X62" s="3">
        <f t="shared" si="30"/>
        <v>0</v>
      </c>
      <c r="Y62" s="3">
        <f t="shared" si="31"/>
        <v>0</v>
      </c>
      <c r="Z62" s="3">
        <f t="shared" si="32"/>
        <v>0</v>
      </c>
      <c r="AA62" s="3">
        <f t="shared" si="33"/>
        <v>0</v>
      </c>
      <c r="AB62" s="3">
        <f t="shared" si="34"/>
        <v>0</v>
      </c>
      <c r="AC62" s="3">
        <f t="shared" si="35"/>
        <v>0</v>
      </c>
      <c r="AD62" s="3">
        <f t="shared" si="36"/>
        <v>0</v>
      </c>
      <c r="AE62" s="3">
        <f t="shared" si="37"/>
        <v>0</v>
      </c>
      <c r="AF62" s="3">
        <f t="shared" si="38"/>
        <v>0</v>
      </c>
      <c r="AG62" s="3">
        <f t="shared" si="39"/>
        <v>0</v>
      </c>
      <c r="AH62" s="3">
        <f t="shared" si="40"/>
        <v>0</v>
      </c>
      <c r="AI62" s="3">
        <f>N(Setup!$B$12)+SUM(AC$5:AC62)</f>
        <v>0</v>
      </c>
      <c r="AJ62" s="3">
        <f>N(Setup!$B$18)+SUM(AD$5:AD62)</f>
        <v>0</v>
      </c>
      <c r="AK62" s="3">
        <f>N(Setup!$B$13)+SUM(AE$5:AE62)</f>
        <v>0</v>
      </c>
      <c r="AL62" s="3">
        <f>N(Setup!$B$14)+SUM(AF$5:AF62)</f>
        <v>0</v>
      </c>
      <c r="AM62" s="3">
        <f>N(Setup!$B$19)+SUM(AG$5:AG62)</f>
        <v>0</v>
      </c>
      <c r="AN62" s="3">
        <f>N(Setup!$B$20)+SUM(AH$5:AH62)</f>
        <v>0</v>
      </c>
      <c r="AO62" s="3">
        <f t="shared" si="41"/>
        <v>0</v>
      </c>
      <c r="AP62" s="3">
        <f t="shared" si="42"/>
        <v>0</v>
      </c>
      <c r="AQ62" s="3">
        <f t="shared" si="43"/>
        <v>0</v>
      </c>
      <c r="AR62" s="3">
        <f t="shared" si="44"/>
        <v>0</v>
      </c>
      <c r="AS62" s="3">
        <f t="shared" si="45"/>
        <v>0</v>
      </c>
      <c r="AT62" s="3">
        <f t="shared" si="46"/>
        <v>0</v>
      </c>
      <c r="AU62" s="3">
        <f t="shared" si="47"/>
        <v>0</v>
      </c>
      <c r="AV62" s="3">
        <f t="shared" si="48"/>
        <v>0</v>
      </c>
      <c r="AW62" s="3">
        <f t="shared" si="49"/>
        <v>0</v>
      </c>
      <c r="AX62" s="3">
        <f t="shared" si="50"/>
        <v>0</v>
      </c>
      <c r="AY62" s="3">
        <f t="shared" si="51"/>
        <v>0</v>
      </c>
      <c r="AZ62" t="b">
        <f t="shared" si="52"/>
        <v>0</v>
      </c>
      <c r="BA62" t="b">
        <f>OR(AND(F62="Checking",Setup!$B$8&lt;&gt;"None"),AND(F62="Savings",Setup!$B$8="Combined"))</f>
        <v>0</v>
      </c>
      <c r="BB62" t="b">
        <f>OR(AND(G62="Checking",Setup!$B$8&lt;&gt;"None"),AND(G62="Savings",Setup!$B$8="Combined"))</f>
        <v>0</v>
      </c>
      <c r="BC62" t="b">
        <f t="shared" si="53"/>
        <v>0</v>
      </c>
      <c r="BD62" s="3">
        <f t="shared" si="54"/>
        <v>0</v>
      </c>
    </row>
    <row r="63" spans="1:56" ht="63.95" customHeight="1" x14ac:dyDescent="0.25">
      <c r="A63" s="4"/>
      <c r="B63" s="7"/>
      <c r="C63" s="4"/>
      <c r="D63" s="4"/>
      <c r="E63" s="2"/>
      <c r="F63" s="4"/>
      <c r="G63" s="4"/>
      <c r="H63" s="4"/>
      <c r="I63" s="4"/>
      <c r="J63" s="4"/>
      <c r="K63" s="2"/>
      <c r="L63" s="2"/>
      <c r="M63" s="4"/>
      <c r="N63" s="4"/>
      <c r="O63" s="4"/>
      <c r="P63" s="4"/>
      <c r="Q63" t="str">
        <f>IFERROR(IF(AND(T63=1,SUMPRODUCT(--($B$5:B62&gt;B63),$T$5:T62)&gt;0),"CHECK CASH DATE ORDER",IF(COUNTA(A63:P63)=0,"UNUSED",IF(OR(A63="",NOT(ISNUMBER(B63)),NOT(ISNUMBER(E63)),E63&lt;0,COUNTIF($A$5:$A$64,A63)&lt;&gt;1,AND(C63&lt;&gt;"Confirmed",C63&lt;&gt;"Disputed",C63&lt;&gt;"Expected",C63&lt;&gt;"Historical"),AND(N63&lt;&gt;"Cash + allocation",N63&lt;&gt;"Cash only",N63&lt;&gt;"Allocation only"),LEN(TRIM(P63))=0),"CHECK ID / AMOUNT / STATUS",IF(C63="Expected","EXPECTED — EXCLUDED",IF(C63="Historical",IF(B63&lt;Setup!$B$6,"HISTORICAL — NO CASH","CHECK HISTORICAL DATE"),IF(OR(B63&lt;Setup!$B$6,B63&gt;Setup!$B$7,AND(D63="Expense",OR(AND(F63&lt;&gt;"A",F63&lt;&gt;"B",F63&lt;&gt;"Checking",F63&lt;&gt;"Savings"),G63&lt;&gt;"Merchant")),AND(D63="Refund",OR(F63&lt;&gt;"Merchant",AND(G63&lt;&gt;"A",G63&lt;&gt;"B",G63&lt;&gt;"Checking",G63&lt;&gt;"Savings"))),AND(D63="Contribution",OR(AND(F63&lt;&gt;"A",F63&lt;&gt;"B"),NOT(OR(G63="Checking",G63="Savings")))),AND(D63="ReturnContribution",OR(NOT(OR(F63="Checking",F63="Savings")),AND(G63&lt;&gt;"A",G63&lt;&gt;"B"))),AND(OR(D63="Settlement",D63="PersonalSupport"),OR(AND(M63&lt;&gt;"A",M63&lt;&gt;"B"),IF(M63="A",G63&lt;&gt;"B",G63&lt;&gt;"A"),AND(NOT(OR(F63="Checking",F63="Savings")),F63&lt;&gt;M63))),AND(OR(D63="InternalTransfer",D63="BoundaryTransfer"),OR(NOT(OR(F63="Checking",F63="Savings")),NOT(OR(G63="Checking",G63="Savings")),F63=G63)),AND(D63&lt;&gt;"Expense",D63&lt;&gt;"Refund",D63&lt;&gt;"Contribution",D63&lt;&gt;"ReturnContribution",D63&lt;&gt;"Settlement",D63&lt;&gt;"PersonalSupport",D63&lt;&gt;"InternalTransfer",D63&lt;&gt;"BoundaryTransfer"),AND(Setup!$B$8="None",OR(OR(F63="Checking",F63="Savings"),OR(G63="Checking",G63="Savings"))),AND(Setup!$B$8="Checking",Setup!$B$23&lt;&gt;"Active",OR(F63="Savings",G63="Savings")),AND(T63=1,MIN(AI63:AJ63)&lt; -0.005),AND(N63="Cash only",D63&lt;&gt;"Expense"),AND(N63="Allocation only",D63&lt;&gt;"Expense")),"CHECK CASH / SCOPE","READY")))))),"CHECK INVALID INPUT")</f>
        <v>UNUSED</v>
      </c>
      <c r="R63" t="str">
        <f>IFERROR(IF(AND(C63="Historical",D63="Expense",OR(IFERROR(INDEX(Agreements!$Z$5:$Z$16,MATCH(H63,Agreements!$A$5:$A$16,0)),"MISSING")&lt;&gt;"READY",B63&lt;IFERROR(INDEX(Agreements!$C$5:$C$16,MATCH(H63,Agreements!$A$5:$A$16,0)),0),B63&gt;IFERROR(INDEX(Agreements!$D$5:$D$16,MATCH(H63,Agreements!$A$5:$A$16,0)),0))),"CHECK HISTORICAL AGREEMENT",IF(AND(C63="Confirmed",D63="Refund",AND(IFERROR(INDEX($C$5:$C$64,MATCH(I63,$A$5:$A$64,0)),"")&lt;&gt;"Confirmed",IFERROR(INDEX($C$5:$C$64,MATCH(I63,$A$5:$A$64,0)),"")&lt;&gt;"Historical")),"CHECK REFUND SOURCE STATUS",IF(COUNTA(A63:P63)=0,"UNUSED",IF(OR(C63="Expected",C63="Historical"),"NOT CURRENT",IF(C63="Disputed","DISPUTED — CLOSE PENDING",IF(N63="Cash only",IF(ABS(BD63-E63)&lt;0.005,"READY","CHECK ALLOCATION TOTAL"),IF(OR(D63="Expense",D63="Refund"),IF(OR(IFERROR(INDEX(Agreements!$Z$5:$Z$16,MATCH(H63,Agreements!$A$5:$A$16,0)),0)&lt;&gt;"READY",AND(D63="Expense",OR(B63&lt;IFERROR(INDEX(Agreements!$C$5:$C$16,MATCH(H63,Agreements!$A$5:$A$16,0)),0),B63&gt;IFERROR(INDEX(Agreements!$D$5:$D$16,MATCH(H63,Agreements!$A$5:$A$16,0)),0))),AND(D63="Refund",OR(IFERROR(INDEX($D$5:$D$64,MATCH(I63,$A$5:$A$64,0)),"")&lt;&gt;"Expense",IFERROR(INDEX($H$5:$H$64,MATCH(I63,$A$5:$A$64,0)),"")&lt;&gt;H63,SUMIFS($E$5:$E$64,$I$5:$I$64,I63,$D$5:$D$64,"Refund",$C$5:$C$64,"&lt;&gt;Expected")&gt;N(IFERROR(INDEX($E$5:$E$64,MATCH(I63,$A$5:$A$64,0)),""))+0.005,I63="")),AND(N63="Allocation only",OR(O63="",IFERROR(INDEX($F$5:$F$64,MATCH(O63,$A$5:$A$64,0)),"")&lt;&gt;F63,IFERROR(INDEX($N$5:$N$64,MATCH(O63,$A$5:$A$64,0)),"")&lt;&gt;"Cash only")),AND(Setup!$B$8="Checking",OR(F63="Savings",G63="Savings"))),"CHECK AGREEMENT / REFUND / SCOPE","READY"),"READY"))))))),"CHECK INVALID INPUT")</f>
        <v>UNUSED</v>
      </c>
      <c r="S63" t="str">
        <f t="shared" si="55"/>
        <v>UNUSED</v>
      </c>
      <c r="T63">
        <f t="shared" si="28"/>
        <v>0</v>
      </c>
      <c r="U63">
        <f t="shared" si="29"/>
        <v>0</v>
      </c>
      <c r="V63">
        <f>IFERROR(MATCH(H63,Agreements!$A$5:$A$16,0),0)</f>
        <v>0</v>
      </c>
      <c r="W63" s="6">
        <f>IF(D63="Refund",IFERROR(INDEX(Agreements!$AA$5:$AA$16,MATCH(IFERROR(INDEX($H$5:$H$64,MATCH(I63,$A$5:$A$64,0)),""),Agreements!$A$5:$A$16,0)),0),IFERROR(INDEX(Agreements!$AA$5:$AA$16,MATCH(H63,Agreements!$A$5:$A$16,0)),0))</f>
        <v>0</v>
      </c>
      <c r="X63" s="3">
        <f t="shared" si="30"/>
        <v>0</v>
      </c>
      <c r="Y63" s="3">
        <f t="shared" si="31"/>
        <v>0</v>
      </c>
      <c r="Z63" s="3">
        <f t="shared" si="32"/>
        <v>0</v>
      </c>
      <c r="AA63" s="3">
        <f t="shared" si="33"/>
        <v>0</v>
      </c>
      <c r="AB63" s="3">
        <f t="shared" si="34"/>
        <v>0</v>
      </c>
      <c r="AC63" s="3">
        <f t="shared" si="35"/>
        <v>0</v>
      </c>
      <c r="AD63" s="3">
        <f t="shared" si="36"/>
        <v>0</v>
      </c>
      <c r="AE63" s="3">
        <f t="shared" si="37"/>
        <v>0</v>
      </c>
      <c r="AF63" s="3">
        <f t="shared" si="38"/>
        <v>0</v>
      </c>
      <c r="AG63" s="3">
        <f t="shared" si="39"/>
        <v>0</v>
      </c>
      <c r="AH63" s="3">
        <f t="shared" si="40"/>
        <v>0</v>
      </c>
      <c r="AI63" s="3">
        <f>N(Setup!$B$12)+SUM(AC$5:AC63)</f>
        <v>0</v>
      </c>
      <c r="AJ63" s="3">
        <f>N(Setup!$B$18)+SUM(AD$5:AD63)</f>
        <v>0</v>
      </c>
      <c r="AK63" s="3">
        <f>N(Setup!$B$13)+SUM(AE$5:AE63)</f>
        <v>0</v>
      </c>
      <c r="AL63" s="3">
        <f>N(Setup!$B$14)+SUM(AF$5:AF63)</f>
        <v>0</v>
      </c>
      <c r="AM63" s="3">
        <f>N(Setup!$B$19)+SUM(AG$5:AG63)</f>
        <v>0</v>
      </c>
      <c r="AN63" s="3">
        <f>N(Setup!$B$20)+SUM(AH$5:AH63)</f>
        <v>0</v>
      </c>
      <c r="AO63" s="3">
        <f t="shared" si="41"/>
        <v>0</v>
      </c>
      <c r="AP63" s="3">
        <f t="shared" si="42"/>
        <v>0</v>
      </c>
      <c r="AQ63" s="3">
        <f t="shared" si="43"/>
        <v>0</v>
      </c>
      <c r="AR63" s="3">
        <f t="shared" si="44"/>
        <v>0</v>
      </c>
      <c r="AS63" s="3">
        <f t="shared" si="45"/>
        <v>0</v>
      </c>
      <c r="AT63" s="3">
        <f t="shared" si="46"/>
        <v>0</v>
      </c>
      <c r="AU63" s="3">
        <f t="shared" si="47"/>
        <v>0</v>
      </c>
      <c r="AV63" s="3">
        <f t="shared" si="48"/>
        <v>0</v>
      </c>
      <c r="AW63" s="3">
        <f t="shared" si="49"/>
        <v>0</v>
      </c>
      <c r="AX63" s="3">
        <f t="shared" si="50"/>
        <v>0</v>
      </c>
      <c r="AY63" s="3">
        <f t="shared" si="51"/>
        <v>0</v>
      </c>
      <c r="AZ63" t="b">
        <f t="shared" si="52"/>
        <v>0</v>
      </c>
      <c r="BA63" t="b">
        <f>OR(AND(F63="Checking",Setup!$B$8&lt;&gt;"None"),AND(F63="Savings",Setup!$B$8="Combined"))</f>
        <v>0</v>
      </c>
      <c r="BB63" t="b">
        <f>OR(AND(G63="Checking",Setup!$B$8&lt;&gt;"None"),AND(G63="Savings",Setup!$B$8="Combined"))</f>
        <v>0</v>
      </c>
      <c r="BC63" t="b">
        <f t="shared" si="53"/>
        <v>0</v>
      </c>
      <c r="BD63" s="3">
        <f t="shared" si="54"/>
        <v>0</v>
      </c>
    </row>
    <row r="64" spans="1:56" ht="63.95" customHeight="1" x14ac:dyDescent="0.25">
      <c r="A64" s="4"/>
      <c r="B64" s="7"/>
      <c r="C64" s="4"/>
      <c r="D64" s="4"/>
      <c r="E64" s="2"/>
      <c r="F64" s="4"/>
      <c r="G64" s="4"/>
      <c r="H64" s="4"/>
      <c r="I64" s="4"/>
      <c r="J64" s="4"/>
      <c r="K64" s="2"/>
      <c r="L64" s="2"/>
      <c r="M64" s="4"/>
      <c r="N64" s="4"/>
      <c r="O64" s="4"/>
      <c r="P64" s="4"/>
      <c r="Q64" t="str">
        <f>IFERROR(IF(AND(T64=1,SUMPRODUCT(--($B$5:B63&gt;B64),$T$5:T63)&gt;0),"CHECK CASH DATE ORDER",IF(COUNTA(A64:P64)=0,"UNUSED",IF(OR(A64="",NOT(ISNUMBER(B64)),NOT(ISNUMBER(E64)),E64&lt;0,COUNTIF($A$5:$A$64,A64)&lt;&gt;1,AND(C64&lt;&gt;"Confirmed",C64&lt;&gt;"Disputed",C64&lt;&gt;"Expected",C64&lt;&gt;"Historical"),AND(N64&lt;&gt;"Cash + allocation",N64&lt;&gt;"Cash only",N64&lt;&gt;"Allocation only"),LEN(TRIM(P64))=0),"CHECK ID / AMOUNT / STATUS",IF(C64="Expected","EXPECTED — EXCLUDED",IF(C64="Historical",IF(B64&lt;Setup!$B$6,"HISTORICAL — NO CASH","CHECK HISTORICAL DATE"),IF(OR(B64&lt;Setup!$B$6,B64&gt;Setup!$B$7,AND(D64="Expense",OR(AND(F64&lt;&gt;"A",F64&lt;&gt;"B",F64&lt;&gt;"Checking",F64&lt;&gt;"Savings"),G64&lt;&gt;"Merchant")),AND(D64="Refund",OR(F64&lt;&gt;"Merchant",AND(G64&lt;&gt;"A",G64&lt;&gt;"B",G64&lt;&gt;"Checking",G64&lt;&gt;"Savings"))),AND(D64="Contribution",OR(AND(F64&lt;&gt;"A",F64&lt;&gt;"B"),NOT(OR(G64="Checking",G64="Savings")))),AND(D64="ReturnContribution",OR(NOT(OR(F64="Checking",F64="Savings")),AND(G64&lt;&gt;"A",G64&lt;&gt;"B"))),AND(OR(D64="Settlement",D64="PersonalSupport"),OR(AND(M64&lt;&gt;"A",M64&lt;&gt;"B"),IF(M64="A",G64&lt;&gt;"B",G64&lt;&gt;"A"),AND(NOT(OR(F64="Checking",F64="Savings")),F64&lt;&gt;M64))),AND(OR(D64="InternalTransfer",D64="BoundaryTransfer"),OR(NOT(OR(F64="Checking",F64="Savings")),NOT(OR(G64="Checking",G64="Savings")),F64=G64)),AND(D64&lt;&gt;"Expense",D64&lt;&gt;"Refund",D64&lt;&gt;"Contribution",D64&lt;&gt;"ReturnContribution",D64&lt;&gt;"Settlement",D64&lt;&gt;"PersonalSupport",D64&lt;&gt;"InternalTransfer",D64&lt;&gt;"BoundaryTransfer"),AND(Setup!$B$8="None",OR(OR(F64="Checking",F64="Savings"),OR(G64="Checking",G64="Savings"))),AND(Setup!$B$8="Checking",Setup!$B$23&lt;&gt;"Active",OR(F64="Savings",G64="Savings")),AND(T64=1,MIN(AI64:AJ64)&lt; -0.005),AND(N64="Cash only",D64&lt;&gt;"Expense"),AND(N64="Allocation only",D64&lt;&gt;"Expense")),"CHECK CASH / SCOPE","READY")))))),"CHECK INVALID INPUT")</f>
        <v>UNUSED</v>
      </c>
      <c r="R64" t="str">
        <f>IFERROR(IF(AND(C64="Historical",D64="Expense",OR(IFERROR(INDEX(Agreements!$Z$5:$Z$16,MATCH(H64,Agreements!$A$5:$A$16,0)),"MISSING")&lt;&gt;"READY",B64&lt;IFERROR(INDEX(Agreements!$C$5:$C$16,MATCH(H64,Agreements!$A$5:$A$16,0)),0),B64&gt;IFERROR(INDEX(Agreements!$D$5:$D$16,MATCH(H64,Agreements!$A$5:$A$16,0)),0))),"CHECK HISTORICAL AGREEMENT",IF(AND(C64="Confirmed",D64="Refund",AND(IFERROR(INDEX($C$5:$C$64,MATCH(I64,$A$5:$A$64,0)),"")&lt;&gt;"Confirmed",IFERROR(INDEX($C$5:$C$64,MATCH(I64,$A$5:$A$64,0)),"")&lt;&gt;"Historical")),"CHECK REFUND SOURCE STATUS",IF(COUNTA(A64:P64)=0,"UNUSED",IF(OR(C64="Expected",C64="Historical"),"NOT CURRENT",IF(C64="Disputed","DISPUTED — CLOSE PENDING",IF(N64="Cash only",IF(ABS(BD64-E64)&lt;0.005,"READY","CHECK ALLOCATION TOTAL"),IF(OR(D64="Expense",D64="Refund"),IF(OR(IFERROR(INDEX(Agreements!$Z$5:$Z$16,MATCH(H64,Agreements!$A$5:$A$16,0)),0)&lt;&gt;"READY",AND(D64="Expense",OR(B64&lt;IFERROR(INDEX(Agreements!$C$5:$C$16,MATCH(H64,Agreements!$A$5:$A$16,0)),0),B64&gt;IFERROR(INDEX(Agreements!$D$5:$D$16,MATCH(H64,Agreements!$A$5:$A$16,0)),0))),AND(D64="Refund",OR(IFERROR(INDEX($D$5:$D$64,MATCH(I64,$A$5:$A$64,0)),"")&lt;&gt;"Expense",IFERROR(INDEX($H$5:$H$64,MATCH(I64,$A$5:$A$64,0)),"")&lt;&gt;H64,SUMIFS($E$5:$E$64,$I$5:$I$64,I64,$D$5:$D$64,"Refund",$C$5:$C$64,"&lt;&gt;Expected")&gt;N(IFERROR(INDEX($E$5:$E$64,MATCH(I64,$A$5:$A$64,0)),""))+0.005,I64="")),AND(N64="Allocation only",OR(O64="",IFERROR(INDEX($F$5:$F$64,MATCH(O64,$A$5:$A$64,0)),"")&lt;&gt;F64,IFERROR(INDEX($N$5:$N$64,MATCH(O64,$A$5:$A$64,0)),"")&lt;&gt;"Cash only")),AND(Setup!$B$8="Checking",OR(F64="Savings",G64="Savings"))),"CHECK AGREEMENT / REFUND / SCOPE","READY"),"READY"))))))),"CHECK INVALID INPUT")</f>
        <v>UNUSED</v>
      </c>
      <c r="S64" t="str">
        <f t="shared" si="55"/>
        <v>UNUSED</v>
      </c>
      <c r="T64">
        <f t="shared" si="28"/>
        <v>0</v>
      </c>
      <c r="U64">
        <f t="shared" si="29"/>
        <v>0</v>
      </c>
      <c r="V64">
        <f>IFERROR(MATCH(H64,Agreements!$A$5:$A$16,0),0)</f>
        <v>0</v>
      </c>
      <c r="W64" s="6">
        <f>IF(D64="Refund",IFERROR(INDEX(Agreements!$AA$5:$AA$16,MATCH(IFERROR(INDEX($H$5:$H$64,MATCH(I64,$A$5:$A$64,0)),""),Agreements!$A$5:$A$16,0)),0),IFERROR(INDEX(Agreements!$AA$5:$AA$16,MATCH(H64,Agreements!$A$5:$A$16,0)),0))</f>
        <v>0</v>
      </c>
      <c r="X64" s="3">
        <f t="shared" si="30"/>
        <v>0</v>
      </c>
      <c r="Y64" s="3">
        <f t="shared" si="31"/>
        <v>0</v>
      </c>
      <c r="Z64" s="3">
        <f t="shared" si="32"/>
        <v>0</v>
      </c>
      <c r="AA64" s="3">
        <f t="shared" si="33"/>
        <v>0</v>
      </c>
      <c r="AB64" s="3">
        <f t="shared" si="34"/>
        <v>0</v>
      </c>
      <c r="AC64" s="3">
        <f t="shared" si="35"/>
        <v>0</v>
      </c>
      <c r="AD64" s="3">
        <f t="shared" si="36"/>
        <v>0</v>
      </c>
      <c r="AE64" s="3">
        <f t="shared" si="37"/>
        <v>0</v>
      </c>
      <c r="AF64" s="3">
        <f t="shared" si="38"/>
        <v>0</v>
      </c>
      <c r="AG64" s="3">
        <f t="shared" si="39"/>
        <v>0</v>
      </c>
      <c r="AH64" s="3">
        <f t="shared" si="40"/>
        <v>0</v>
      </c>
      <c r="AI64" s="3">
        <f>N(Setup!$B$12)+SUM(AC$5:AC64)</f>
        <v>0</v>
      </c>
      <c r="AJ64" s="3">
        <f>N(Setup!$B$18)+SUM(AD$5:AD64)</f>
        <v>0</v>
      </c>
      <c r="AK64" s="3">
        <f>N(Setup!$B$13)+SUM(AE$5:AE64)</f>
        <v>0</v>
      </c>
      <c r="AL64" s="3">
        <f>N(Setup!$B$14)+SUM(AF$5:AF64)</f>
        <v>0</v>
      </c>
      <c r="AM64" s="3">
        <f>N(Setup!$B$19)+SUM(AG$5:AG64)</f>
        <v>0</v>
      </c>
      <c r="AN64" s="3">
        <f>N(Setup!$B$20)+SUM(AH$5:AH64)</f>
        <v>0</v>
      </c>
      <c r="AO64" s="3">
        <f t="shared" si="41"/>
        <v>0</v>
      </c>
      <c r="AP64" s="3">
        <f t="shared" si="42"/>
        <v>0</v>
      </c>
      <c r="AQ64" s="3">
        <f t="shared" si="43"/>
        <v>0</v>
      </c>
      <c r="AR64" s="3">
        <f t="shared" si="44"/>
        <v>0</v>
      </c>
      <c r="AS64" s="3">
        <f t="shared" si="45"/>
        <v>0</v>
      </c>
      <c r="AT64" s="3">
        <f t="shared" si="46"/>
        <v>0</v>
      </c>
      <c r="AU64" s="3">
        <f t="shared" si="47"/>
        <v>0</v>
      </c>
      <c r="AV64" s="3">
        <f t="shared" si="48"/>
        <v>0</v>
      </c>
      <c r="AW64" s="3">
        <f t="shared" si="49"/>
        <v>0</v>
      </c>
      <c r="AX64" s="3">
        <f t="shared" si="50"/>
        <v>0</v>
      </c>
      <c r="AY64" s="3">
        <f t="shared" si="51"/>
        <v>0</v>
      </c>
      <c r="AZ64" t="b">
        <f t="shared" si="52"/>
        <v>0</v>
      </c>
      <c r="BA64" t="b">
        <f>OR(AND(F64="Checking",Setup!$B$8&lt;&gt;"None"),AND(F64="Savings",Setup!$B$8="Combined"))</f>
        <v>0</v>
      </c>
      <c r="BB64" t="b">
        <f>OR(AND(G64="Checking",Setup!$B$8&lt;&gt;"None"),AND(G64="Savings",Setup!$B$8="Combined"))</f>
        <v>0</v>
      </c>
      <c r="BC64" t="b">
        <f t="shared" si="53"/>
        <v>0</v>
      </c>
      <c r="BD64" s="3">
        <f t="shared" si="54"/>
        <v>0</v>
      </c>
    </row>
    <row r="66" spans="1:19" ht="50.1" customHeight="1" x14ac:dyDescent="0.25">
      <c r="A66" s="9" t="s">
        <v>161</v>
      </c>
      <c r="B66" s="9"/>
      <c r="C66" s="9"/>
      <c r="D66" s="9"/>
      <c r="E66" s="9"/>
      <c r="F66" s="9"/>
      <c r="G66" s="9"/>
      <c r="H66" s="9"/>
      <c r="I66" s="9"/>
      <c r="J66" s="9"/>
      <c r="K66" s="9"/>
      <c r="L66" s="9"/>
      <c r="M66" s="9"/>
      <c r="N66" s="9"/>
      <c r="O66" s="9"/>
      <c r="P66" s="9"/>
      <c r="Q66" s="9"/>
      <c r="R66" s="9"/>
      <c r="S66" s="9"/>
    </row>
  </sheetData>
  <sheetProtection sheet="1"/>
  <mergeCells count="3">
    <mergeCell ref="A1:BD1"/>
    <mergeCell ref="A2:BD2"/>
    <mergeCell ref="A66:S66"/>
  </mergeCells>
  <dataValidations count="5">
    <dataValidation type="list" allowBlank="1" showErrorMessage="1" errorTitle="Choose a listed value" error="Use the drop-down values." sqref="C5:C64" xr:uid="{00000000-0002-0000-0400-000000000000}">
      <formula1>"Confirmed,Expected,Disputed,Historical"</formula1>
    </dataValidation>
    <dataValidation type="list" allowBlank="1" showErrorMessage="1" errorTitle="Choose a listed value" error="Use the drop-down values." sqref="D5:D64" xr:uid="{00000000-0002-0000-0400-000001000000}">
      <formula1>"Expense,Refund,Contribution,ReturnContribution,Settlement,PersonalSupport,InternalTransfer,BoundaryTransfer"</formula1>
    </dataValidation>
    <dataValidation type="list" allowBlank="1" showErrorMessage="1" errorTitle="Choose a listed value" error="Use the drop-down values." sqref="F5:G64" xr:uid="{00000000-0002-0000-0400-000002000000}">
      <formula1>"A,B,Checking,Savings,Merchant"</formula1>
    </dataValidation>
    <dataValidation type="list" allowBlank="1" showErrorMessage="1" errorTitle="Choose a listed value" error="Use the drop-down values." sqref="M5:M64" xr:uid="{00000000-0002-0000-0400-000003000000}">
      <formula1>"A,B"</formula1>
    </dataValidation>
    <dataValidation type="list" allowBlank="1" showErrorMessage="1" errorTitle="Choose a listed value" error="Use the drop-down values." sqref="N5:N64" xr:uid="{00000000-0002-0000-0400-000004000000}">
      <formula1>"Cash + allocation,Cash only,Allocation only"</formula1>
    </dataValidation>
  </dataValidations>
  <pageMargins left="0.3" right="0.3" top="0.45" bottom="0.45" header="0.2" footer="0.2"/>
  <pageSetup fitToHeight="0" orientation="landscape"/>
  <headerFooter>
    <oddFooter>&amp;L Different Pay, Shared Plans &amp;R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48"/>
  <sheetViews>
    <sheetView showGridLines="0" workbookViewId="0">
      <pane ySplit="4" topLeftCell="A5" activePane="bottomLeft" state="frozen"/>
      <selection pane="bottomLeft"/>
    </sheetView>
  </sheetViews>
  <sheetFormatPr defaultRowHeight="15" x14ac:dyDescent="0.25"/>
  <cols>
    <col min="1" max="1" width="44" customWidth="1"/>
    <col min="2" max="3" width="26" customWidth="1"/>
    <col min="4" max="4" width="56" customWidth="1"/>
  </cols>
  <sheetData>
    <row r="1" spans="1:4" ht="38.1" customHeight="1" x14ac:dyDescent="0.25">
      <c r="A1" s="8" t="s">
        <v>162</v>
      </c>
      <c r="B1" s="9"/>
      <c r="C1" s="9"/>
      <c r="D1" s="9"/>
    </row>
    <row r="2" spans="1:4" ht="36" customHeight="1" x14ac:dyDescent="0.25">
      <c r="A2" s="9" t="s">
        <v>163</v>
      </c>
      <c r="B2" s="9"/>
      <c r="C2" s="9"/>
      <c r="D2" s="9"/>
    </row>
    <row r="4" spans="1:4" ht="44.1" customHeight="1" x14ac:dyDescent="0.25">
      <c r="A4" t="s">
        <v>123</v>
      </c>
      <c r="B4" t="str">
        <f>IF(Setup!B35&lt;&gt;"READY",Setup!B35,IF(COUNTIF(Transactions!Q5:Q64,"CHECK*")&gt;0,"PENDING CASH ROWS","READY"))</f>
        <v>PENDING PERIOD</v>
      </c>
      <c r="D4" t="s">
        <v>164</v>
      </c>
    </row>
    <row r="5" spans="1:4" ht="65.099999999999994" customHeight="1" x14ac:dyDescent="0.25">
      <c r="A5" t="s">
        <v>165</v>
      </c>
      <c r="B5" t="str">
        <f>IF(Setup!B33&lt;&gt;"Yes","PENDING LEDGER CONFIRMATION",IF(B6&lt;&gt;"READY",B6,IF(B4&lt;&gt;"READY",B4,IF(Setup!B36&lt;&gt;"READY",Setup!B36,IF(OR(COUNTIF(Transactions!R5:R64,"CHECK*")&gt;0,COUNTIF(Transactions!R5:R64,"DISPUTED*")&gt;0,COUNTIF(Transactions!S5:S64,"CHECK*")&gt;0),"PENDING ALLOCATION / ATTRIBUTION",IF(OR(Setup!B32&lt;&gt;"Yes",NOT(ISNUMBER(Setup!B31))),"PENDING OPENING DEBT","READY"))))))</f>
        <v>PENDING LEDGER CONFIRMATION</v>
      </c>
      <c r="D5" t="s">
        <v>164</v>
      </c>
    </row>
    <row r="6" spans="1:4" ht="44.1" customHeight="1" x14ac:dyDescent="0.25">
      <c r="A6" t="s">
        <v>166</v>
      </c>
      <c r="B6" t="str">
        <f>IF(COUNTIFS(Agreements!O5:O16,"Current",Agreements!B5:B16,"Confirmed")=0,"PENDING CURRENT AGREEMENT",IF(COUNTIFS(Agreements!O5:O16,"Current",Agreements!Z5:Z16,"&lt;&gt;READY")&gt;0,"PENDING CURRENT AGREEMENT","READY"))</f>
        <v>PENDING CURRENT AGREEMENT</v>
      </c>
    </row>
    <row r="7" spans="1:4" ht="44.1" customHeight="1" x14ac:dyDescent="0.25">
      <c r="A7" t="s">
        <v>167</v>
      </c>
      <c r="B7" s="3" t="str">
        <f>IF(B5="READY",SUM(Transactions!X5:X64),"PENDING; inspect Transactions")</f>
        <v>PENDING; inspect Transactions</v>
      </c>
      <c r="D7" t="s">
        <v>168</v>
      </c>
    </row>
    <row r="8" spans="1:4" ht="44.1" customHeight="1" x14ac:dyDescent="0.25">
      <c r="A8" t="s">
        <v>98</v>
      </c>
      <c r="B8" s="3" t="str">
        <f>IF(B5="READY",SUM(Transactions!Y5:Y64),"PENDING")</f>
        <v>PENDING</v>
      </c>
      <c r="D8" t="s">
        <v>164</v>
      </c>
    </row>
    <row r="9" spans="1:4" ht="44.1" customHeight="1" x14ac:dyDescent="0.25">
      <c r="A9" t="s">
        <v>99</v>
      </c>
      <c r="B9" s="3" t="str">
        <f>IF(B5="READY",SUM(Transactions!Z5:Z64),"PENDING")</f>
        <v>PENDING</v>
      </c>
      <c r="D9" t="s">
        <v>164</v>
      </c>
    </row>
    <row r="11" spans="1:4" ht="44.1" customHeight="1" x14ac:dyDescent="0.25">
      <c r="A11" t="s">
        <v>169</v>
      </c>
      <c r="B11" s="3" t="str">
        <f>IF(B5="READY",SUM(Transactions!AA5:AA64),"PENDING")</f>
        <v>PENDING</v>
      </c>
      <c r="D11" t="s">
        <v>164</v>
      </c>
    </row>
    <row r="12" spans="1:4" ht="44.1" customHeight="1" x14ac:dyDescent="0.25">
      <c r="A12" t="s">
        <v>170</v>
      </c>
      <c r="B12" s="3" t="str">
        <f>IF(B5="READY",SUM(Transactions!AB5:AB64),"PENDING")</f>
        <v>PENDING</v>
      </c>
      <c r="D12" t="s">
        <v>164</v>
      </c>
    </row>
    <row r="13" spans="1:4" ht="65.099999999999994" customHeight="1" x14ac:dyDescent="0.25">
      <c r="A13" t="s">
        <v>171</v>
      </c>
      <c r="B13" s="3" t="str">
        <f>IF(B5="READY",IF(Setup!B8="None",0,Setup!B13)+IF(Setup!B8="Combined",Setup!B19,0)+SUM(Transactions!AR5:AR64)+SUM(Transactions!AT5:AT64)-SUM(Transactions!AV5:AV64)-SUM(Transactions!AX5:AX64)-IF(Setup!B8="None",0,Transactions!AK64)-IF(Setup!B8="Combined",Transactions!AM64,0),"PENDING")</f>
        <v>PENDING</v>
      </c>
      <c r="D13" t="s">
        <v>172</v>
      </c>
    </row>
    <row r="14" spans="1:4" ht="65.099999999999994" customHeight="1" x14ac:dyDescent="0.25">
      <c r="A14" t="s">
        <v>173</v>
      </c>
      <c r="B14" s="3" t="str">
        <f>IF(B5="READY",IF(Setup!B8="None",0,Setup!B14)+IF(Setup!B8="Combined",Setup!B20,0)+SUM(Transactions!AS5:AS64)+SUM(Transactions!AU5:AU64)-SUM(Transactions!AW5:AW64)-SUM(Transactions!AY5:AY64)-IF(Setup!B8="None",0,Transactions!AL64)-IF(Setup!B8="Combined",Transactions!AN64,0),"PENDING")</f>
        <v>PENDING</v>
      </c>
      <c r="D14" t="s">
        <v>172</v>
      </c>
    </row>
    <row r="15" spans="1:4" ht="44.1" customHeight="1" x14ac:dyDescent="0.25">
      <c r="A15" t="s">
        <v>174</v>
      </c>
      <c r="B15" s="3" t="str">
        <f>IF(B5="READY",SUM(Transactions!AO5:AO64),"PENDING")</f>
        <v>PENDING</v>
      </c>
      <c r="D15" t="s">
        <v>175</v>
      </c>
    </row>
    <row r="16" spans="1:4" ht="44.1" customHeight="1" x14ac:dyDescent="0.25">
      <c r="A16" t="s">
        <v>176</v>
      </c>
      <c r="B16" s="3" t="str">
        <f>IF(B5="READY",B11+B13+B15,"PENDING")</f>
        <v>PENDING</v>
      </c>
      <c r="D16" t="s">
        <v>164</v>
      </c>
    </row>
    <row r="17" spans="1:4" ht="44.1" customHeight="1" x14ac:dyDescent="0.25">
      <c r="A17" t="s">
        <v>177</v>
      </c>
      <c r="B17" s="3" t="str">
        <f>IF(B5="READY",B12+B14-B15,"PENDING")</f>
        <v>PENDING</v>
      </c>
      <c r="D17" t="s">
        <v>164</v>
      </c>
    </row>
    <row r="18" spans="1:4" ht="44.1" customHeight="1" x14ac:dyDescent="0.25">
      <c r="A18" t="s">
        <v>178</v>
      </c>
      <c r="B18" s="3" t="str">
        <f>IF(B5="READY",B16+B17-B7,"PENDING")</f>
        <v>PENDING</v>
      </c>
      <c r="D18" t="s">
        <v>179</v>
      </c>
    </row>
    <row r="19" spans="1:4" ht="65.099999999999994" customHeight="1" x14ac:dyDescent="0.25">
      <c r="A19" t="s">
        <v>180</v>
      </c>
      <c r="B19" s="3" t="str">
        <f>IF(B5&lt;&gt;"READY","PENDING",IF(ABS(B18)&gt;0.005,"PENDING RECONCILIATION",B16-B8+Setup!B31))</f>
        <v>PENDING</v>
      </c>
      <c r="D19" t="s">
        <v>181</v>
      </c>
    </row>
    <row r="20" spans="1:4" ht="90" customHeight="1" x14ac:dyDescent="0.25">
      <c r="A20" t="s">
        <v>182</v>
      </c>
      <c r="B20" s="9" t="str">
        <f>IF(AND(ISNUMBER(B19),OR(AND(Setup!B8&lt;&gt;"None",IFERROR(ABS(B23)&gt;0.005,TRUE)),AND(OR(Setup!B8="Combined",AND(Setup!B8="Checking",Setup!B23="Active")),IFERROR(ABS(B25)&gt;0.005,TRUE)))),"PROVISIONAL — resolve bank difference: "&amp;(IF(NOT(ISNUMBER(B19)),B19,IF(ABS(B19)&lt;0.005,"No expense settlement",IF(B19&gt;0,Setup!B5&amp;" to "&amp;Setup!B4&amp;" "&amp;TEXT(B19,"$#,##0.00"),Setup!B4&amp;" to "&amp;Setup!B5&amp;" "&amp;TEXT(-B19,"$#,##0.00"))))),IF(NOT(ISNUMBER(B19)),B19,IF(ABS(B19)&lt;0.005,"No expense settlement",IF(B19&gt;0,Setup!B5&amp;" to "&amp;Setup!B4&amp;" "&amp;TEXT(B19,"$#,##0.00"),Setup!B4&amp;" to "&amp;Setup!B5&amp;" "&amp;TEXT(-B19,"$#,##0.00")))))</f>
        <v>PENDING</v>
      </c>
      <c r="C20" s="9"/>
      <c r="D20" t="s">
        <v>183</v>
      </c>
    </row>
    <row r="22" spans="1:4" ht="44.1" customHeight="1" x14ac:dyDescent="0.25">
      <c r="A22" t="s">
        <v>184</v>
      </c>
      <c r="B22" s="3" t="str">
        <f>IF(Setup!B8="None","INACTIVE",IF(B4="READY",Transactions!AI64,"PENDING"))</f>
        <v>INACTIVE</v>
      </c>
      <c r="D22" t="s">
        <v>164</v>
      </c>
    </row>
    <row r="23" spans="1:4" ht="44.1" customHeight="1" x14ac:dyDescent="0.25">
      <c r="A23" t="s">
        <v>185</v>
      </c>
      <c r="B23" s="3" t="str">
        <f>IF(ISNUMBER(B22),B22-Setup!B15,"PENDING / INACTIVE")</f>
        <v>PENDING / INACTIVE</v>
      </c>
      <c r="D23" t="s">
        <v>164</v>
      </c>
    </row>
    <row r="24" spans="1:4" ht="44.1" customHeight="1" x14ac:dyDescent="0.25">
      <c r="A24" t="s">
        <v>186</v>
      </c>
      <c r="B24" s="3" t="str">
        <f>IF(OR(Setup!B8="None",AND(Setup!B8&lt;&gt;"Combined",Setup!B23&lt;&gt;"Active")),"INACTIVE",IF(B4="READY",Transactions!AJ64,"PENDING"))</f>
        <v>INACTIVE</v>
      </c>
      <c r="D24" t="s">
        <v>187</v>
      </c>
    </row>
    <row r="25" spans="1:4" ht="44.1" customHeight="1" x14ac:dyDescent="0.25">
      <c r="A25" t="s">
        <v>188</v>
      </c>
      <c r="B25" s="3" t="str">
        <f>IF(ISNUMBER(B24),B24-Setup!B21,"PENDING / INACTIVE")</f>
        <v>PENDING / INACTIVE</v>
      </c>
      <c r="D25" t="s">
        <v>164</v>
      </c>
    </row>
    <row r="26" spans="1:4" ht="44.1" customHeight="1" x14ac:dyDescent="0.25">
      <c r="A26" t="s">
        <v>189</v>
      </c>
      <c r="B26" s="3" t="str">
        <f>IF(B4&lt;&gt;"READY","PENDING",IF(Setup!B8="None","INACTIVE",B22+IF(Setup!B8="Combined",B24,0)))</f>
        <v>PENDING</v>
      </c>
      <c r="D26" t="s">
        <v>164</v>
      </c>
    </row>
    <row r="27" spans="1:4" ht="44.1" customHeight="1" x14ac:dyDescent="0.25">
      <c r="A27" t="s">
        <v>190</v>
      </c>
      <c r="B27" s="3" t="str">
        <f>IF(B5="READY",IF(Setup!B8="None","INACTIVE",Transactions!AK64),"PENDING")</f>
        <v>PENDING</v>
      </c>
      <c r="D27" t="s">
        <v>164</v>
      </c>
    </row>
    <row r="28" spans="1:4" ht="44.1" customHeight="1" x14ac:dyDescent="0.25">
      <c r="A28" t="s">
        <v>191</v>
      </c>
      <c r="B28" s="3" t="str">
        <f>IF(B5="READY",IF(Setup!B8="None","INACTIVE",Transactions!AL64),"PENDING")</f>
        <v>PENDING</v>
      </c>
      <c r="D28" t="s">
        <v>164</v>
      </c>
    </row>
    <row r="29" spans="1:4" ht="44.1" customHeight="1" x14ac:dyDescent="0.25">
      <c r="A29" t="s">
        <v>192</v>
      </c>
      <c r="B29" s="3" t="str">
        <f>IF(B5="READY",IF(Setup!B8="None","INACTIVE",Transactions!AM64),"PENDING")</f>
        <v>PENDING</v>
      </c>
      <c r="D29" t="s">
        <v>164</v>
      </c>
    </row>
    <row r="30" spans="1:4" ht="44.1" customHeight="1" x14ac:dyDescent="0.25">
      <c r="A30" t="s">
        <v>193</v>
      </c>
      <c r="B30" s="3" t="str">
        <f>IF(B5="READY",IF(Setup!B8="None","INACTIVE",Transactions!AN64),"PENDING")</f>
        <v>PENDING</v>
      </c>
      <c r="D30" t="s">
        <v>164</v>
      </c>
    </row>
    <row r="32" spans="1:4" ht="44.1" customHeight="1" x14ac:dyDescent="0.25">
      <c r="A32" t="s">
        <v>194</v>
      </c>
      <c r="B32" s="3" t="str">
        <f>IF(AND(B6="READY",NOT(OR(AND(Agreements!O5="Current",Agreements!AB5="Active",OR(NOT(ISNUMBER(Agreements!L5)),Agreements!L5&lt;0)),AND(Agreements!O6="Current",Agreements!AB6="Active",OR(NOT(ISNUMBER(Agreements!L6)),Agreements!L6&lt;0)),AND(Agreements!O7="Current",Agreements!AB7="Active",OR(NOT(ISNUMBER(Agreements!L7)),Agreements!L7&lt;0)),AND(Agreements!O8="Current",Agreements!AB8="Active",OR(NOT(ISNUMBER(Agreements!L8)),Agreements!L8&lt;0)),AND(Agreements!O9="Current",Agreements!AB9="Active",OR(NOT(ISNUMBER(Agreements!L9)),Agreements!L9&lt;0)),AND(Agreements!O10="Current",Agreements!AB10="Active",OR(NOT(ISNUMBER(Agreements!L10)),Agreements!L10&lt;0)),AND(Agreements!O11="Current",Agreements!AB11="Active",OR(NOT(ISNUMBER(Agreements!L11)),Agreements!L11&lt;0)),AND(Agreements!O12="Current",Agreements!AB12="Active",OR(NOT(ISNUMBER(Agreements!L12)),Agreements!L12&lt;0)),AND(Agreements!O13="Current",Agreements!AB13="Active",OR(NOT(ISNUMBER(Agreements!L13)),Agreements!L13&lt;0)),AND(Agreements!O14="Current",Agreements!AB14="Active",OR(NOT(ISNUMBER(Agreements!L14)),Agreements!L14&lt;0)),AND(Agreements!O15="Current",Agreements!AB15="Active",OR(NOT(ISNUMBER(Agreements!L15)),Agreements!L15&lt;0)),AND(Agreements!O16="Current",Agreements!AB16="Active",OR(NOT(ISNUMBER(Agreements!L16)),Agreements!L16&lt;0))))),SUMIFS(Agreements!V5:V16,Agreements!O5:O16,"Current",Agreements!B5:B16,"Confirmed"),"PENDING TARGET")</f>
        <v>PENDING TARGET</v>
      </c>
      <c r="D32" t="s">
        <v>164</v>
      </c>
    </row>
    <row r="33" spans="1:4" ht="44.1" customHeight="1" x14ac:dyDescent="0.25">
      <c r="A33" t="s">
        <v>195</v>
      </c>
      <c r="B33" s="3" t="str">
        <f>IF(AND(B6="READY",NOT(OR(AND(Agreements!O5="Current",Agreements!AB5="Active",OR(NOT(ISNUMBER(Agreements!L5)),Agreements!L5&lt;0)),AND(Agreements!O6="Current",Agreements!AB6="Active",OR(NOT(ISNUMBER(Agreements!L6)),Agreements!L6&lt;0)),AND(Agreements!O7="Current",Agreements!AB7="Active",OR(NOT(ISNUMBER(Agreements!L7)),Agreements!L7&lt;0)),AND(Agreements!O8="Current",Agreements!AB8="Active",OR(NOT(ISNUMBER(Agreements!L8)),Agreements!L8&lt;0)),AND(Agreements!O9="Current",Agreements!AB9="Active",OR(NOT(ISNUMBER(Agreements!L9)),Agreements!L9&lt;0)),AND(Agreements!O10="Current",Agreements!AB10="Active",OR(NOT(ISNUMBER(Agreements!L10)),Agreements!L10&lt;0)),AND(Agreements!O11="Current",Agreements!AB11="Active",OR(NOT(ISNUMBER(Agreements!L11)),Agreements!L11&lt;0)),AND(Agreements!O12="Current",Agreements!AB12="Active",OR(NOT(ISNUMBER(Agreements!L12)),Agreements!L12&lt;0)),AND(Agreements!O13="Current",Agreements!AB13="Active",OR(NOT(ISNUMBER(Agreements!L13)),Agreements!L13&lt;0)),AND(Agreements!O14="Current",Agreements!AB14="Active",OR(NOT(ISNUMBER(Agreements!L14)),Agreements!L14&lt;0)),AND(Agreements!O15="Current",Agreements!AB15="Active",OR(NOT(ISNUMBER(Agreements!L15)),Agreements!L15&lt;0)),AND(Agreements!O16="Current",Agreements!AB16="Active",OR(NOT(ISNUMBER(Agreements!L16)),Agreements!L16&lt;0))))),SUMIFS(Agreements!W5:W16,Agreements!O5:O16,"Current",Agreements!B5:B16,"Confirmed"),"PENDING TARGET")</f>
        <v>PENDING TARGET</v>
      </c>
      <c r="D33" t="s">
        <v>164</v>
      </c>
    </row>
    <row r="34" spans="1:4" ht="44.1" customHeight="1" x14ac:dyDescent="0.25">
      <c r="A34" t="s">
        <v>196</v>
      </c>
      <c r="B34" s="3" t="str">
        <f>IF(AND(B5="READY",Setup!B24="Active",Setup!B29="Yes",COUNT(Setup!B25:B28)=4,MIN(Setup!B25:B28)&gt;=0,Setup!B25&lt;=N(Setup!B13)+N(Setup!B19),Setup!B26&lt;=N(Setup!B14)+N(Setup!B20),Setup!B27&lt;=Transactions!AK64+Transactions!AM64,Setup!B28&lt;=Transactions!AL64+Transactions!AN64),Setup!B27-Setup!B25,"PENDING / INACTIVE")</f>
        <v>PENDING / INACTIVE</v>
      </c>
      <c r="D34" t="s">
        <v>197</v>
      </c>
    </row>
    <row r="35" spans="1:4" ht="44.1" customHeight="1" x14ac:dyDescent="0.25">
      <c r="A35" t="s">
        <v>198</v>
      </c>
      <c r="B35" s="3" t="str">
        <f>IF(AND(B5="READY",Setup!B24="Active",Setup!B29="Yes",COUNT(Setup!B25:B28)=4,MIN(Setup!B25:B28)&gt;=0,Setup!B25&lt;=N(Setup!B13)+N(Setup!B19),Setup!B26&lt;=N(Setup!B14)+N(Setup!B20),Setup!B27&lt;=Transactions!AK64+Transactions!AM64,Setup!B28&lt;=Transactions!AL64+Transactions!AN64),Setup!B28-Setup!B26,"PENDING / INACTIVE")</f>
        <v>PENDING / INACTIVE</v>
      </c>
      <c r="D35" t="s">
        <v>197</v>
      </c>
    </row>
    <row r="36" spans="1:4" ht="44.1" customHeight="1" x14ac:dyDescent="0.25">
      <c r="A36" t="s">
        <v>199</v>
      </c>
      <c r="B36" s="3" t="str">
        <f>IF(AND(ISNUMBER(B32),ISNUMBER(B34)),B32-B34,"PENDING / INACTIVE")</f>
        <v>PENDING / INACTIVE</v>
      </c>
      <c r="D36" t="s">
        <v>164</v>
      </c>
    </row>
    <row r="37" spans="1:4" ht="44.1" customHeight="1" x14ac:dyDescent="0.25">
      <c r="A37" t="s">
        <v>200</v>
      </c>
      <c r="B37" s="3" t="str">
        <f>IF(AND(ISNUMBER(B33),ISNUMBER(B35)),B33-B35,"PENDING / INACTIVE")</f>
        <v>PENDING / INACTIVE</v>
      </c>
      <c r="D37" t="s">
        <v>164</v>
      </c>
    </row>
    <row r="39" spans="1:4" ht="44.1" customHeight="1" x14ac:dyDescent="0.25">
      <c r="A39" t="s">
        <v>201</v>
      </c>
      <c r="B39" s="3" t="str">
        <f>IF(B6="READY",SUMIFS(Agreements!X5:X16,Agreements!O5:O16,"Current",Agreements!B5:B16,"Confirmed"),"PENDING TARGET")</f>
        <v>PENDING TARGET</v>
      </c>
      <c r="D39" t="s">
        <v>164</v>
      </c>
    </row>
    <row r="40" spans="1:4" ht="44.1" customHeight="1" x14ac:dyDescent="0.25">
      <c r="A40" t="s">
        <v>202</v>
      </c>
      <c r="B40" s="3" t="str">
        <f>IF(B6="READY",SUMIFS(Agreements!Y5:Y16,Agreements!O5:O16,"Current",Agreements!B5:B16,"Confirmed"),"PENDING TARGET")</f>
        <v>PENDING TARGET</v>
      </c>
      <c r="D40" t="s">
        <v>164</v>
      </c>
    </row>
    <row r="41" spans="1:4" ht="44.1" customHeight="1" x14ac:dyDescent="0.25">
      <c r="A41" t="s">
        <v>203</v>
      </c>
      <c r="B41" s="3" t="str">
        <f>IF(B5="READY",SUM(Transactions!AP5:AP64),"PENDING")</f>
        <v>PENDING</v>
      </c>
      <c r="D41" t="s">
        <v>164</v>
      </c>
    </row>
    <row r="42" spans="1:4" ht="44.1" customHeight="1" x14ac:dyDescent="0.25">
      <c r="A42" t="s">
        <v>204</v>
      </c>
      <c r="B42" s="3" t="str">
        <f>IF(B5="READY",SUM(Transactions!AQ5:AQ64),"PENDING")</f>
        <v>PENDING</v>
      </c>
      <c r="D42" t="s">
        <v>164</v>
      </c>
    </row>
    <row r="43" spans="1:4" ht="44.1" customHeight="1" x14ac:dyDescent="0.25">
      <c r="A43" t="s">
        <v>205</v>
      </c>
      <c r="B43" s="3" t="str">
        <f>IF(ISNUMBER(B41),B39-B41,"PENDING")</f>
        <v>PENDING</v>
      </c>
      <c r="D43" t="s">
        <v>164</v>
      </c>
    </row>
    <row r="44" spans="1:4" ht="44.1" customHeight="1" x14ac:dyDescent="0.25">
      <c r="A44" t="s">
        <v>206</v>
      </c>
      <c r="B44" s="3" t="str">
        <f>IF(ISNUMBER(B42),B40-B42,"PENDING")</f>
        <v>PENDING</v>
      </c>
      <c r="D44" t="s">
        <v>164</v>
      </c>
    </row>
    <row r="46" spans="1:4" ht="44.1" customHeight="1" x14ac:dyDescent="0.25">
      <c r="A46" t="s">
        <v>207</v>
      </c>
      <c r="B46" s="3">
        <f>SUMIFS(Transactions!E5:E64,Transactions!C5:C64,"Disputed",Transactions!D5:D64,"Expense",Transactions!N5:N64,"&lt;&gt;Cash only")</f>
        <v>0</v>
      </c>
      <c r="D46" t="s">
        <v>208</v>
      </c>
    </row>
    <row r="48" spans="1:4" ht="65.099999999999994" customHeight="1" x14ac:dyDescent="0.25">
      <c r="A48" s="9" t="s">
        <v>209</v>
      </c>
      <c r="B48" s="9"/>
      <c r="C48" s="9"/>
      <c r="D48" s="9"/>
    </row>
  </sheetData>
  <sheetProtection sheet="1"/>
  <mergeCells count="4">
    <mergeCell ref="A1:D1"/>
    <mergeCell ref="A2:D2"/>
    <mergeCell ref="A48:D48"/>
    <mergeCell ref="B20:C20"/>
  </mergeCells>
  <pageMargins left="0.3" right="0.3" top="0.45" bottom="0.45" header="0.2" footer="0.2"/>
  <pageSetup fitToHeight="0" orientation="landscape"/>
  <headerFooter>
    <oddFooter>&amp;L Different Pay, Shared Plans &amp;R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Guide</vt:lpstr>
      <vt:lpstr>Direct180</vt:lpstr>
      <vt:lpstr>Setup</vt:lpstr>
      <vt:lpstr>Agreements</vt:lpstr>
      <vt:lpstr>Transactions</vt:lpstr>
      <vt:lpstr>Close</vt:lpstr>
      <vt:lpstr>Agreements!Print_Area</vt:lpstr>
      <vt:lpstr>Close!Print_Area</vt:lpstr>
      <vt:lpstr>Direct180!Print_Area</vt:lpstr>
      <vt:lpstr>Guide!Print_Area</vt:lpstr>
      <vt:lpstr>Setup!Print_Area</vt:lpstr>
      <vt:lpstr>Transactions!Print_Area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modified xsi:type="dcterms:W3CDTF">2026-10-04T02:29:16Z</dcterms:modified>
</cp:coreProperties>
</file>