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first-rental-deal-analysis\revision-01\resources\"/>
    </mc:Choice>
  </mc:AlternateContent>
  <xr:revisionPtr revIDLastSave="0" documentId="13_ncr:1_{B5D20E64-5387-4887-9705-733749D120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view" sheetId="1" r:id="rId1"/>
    <sheet name="Inputs" sheetId="2" r:id="rId2"/>
    <sheet name="Scenarios" sheetId="3" r:id="rId3"/>
    <sheet name="Paper inputs" sheetId="4" r:id="rId4"/>
    <sheet name="Guide" sheetId="5" r:id="rId5"/>
  </sheets>
  <definedNames>
    <definedName name="_xlnm.Print_Area" localSheetId="4">Guide!$A$1:$B$15</definedName>
    <definedName name="_xlnm.Print_Area" localSheetId="1">Inputs!$A$1:$F$41</definedName>
    <definedName name="_xlnm.Print_Area" localSheetId="0">Overview!$A$1:$B$36</definedName>
    <definedName name="_xlnm.Print_Area" localSheetId="3">'Paper inputs'!$A$1:$B$30</definedName>
    <definedName name="_xlnm.Print_Area" localSheetId="2">Scenarios!$A$1:$B$38</definedName>
    <definedName name="_xlnm.Print_Titles" localSheetId="4">Guide!$1:$3</definedName>
    <definedName name="_xlnm.Print_Titles" localSheetId="1">Inputs!$1:$3</definedName>
    <definedName name="_xlnm.Print_Titles" localSheetId="0">Overview!$1:$3</definedName>
    <definedName name="_xlnm.Print_Titles" localSheetId="3">'Paper inputs'!$1:$3</definedName>
    <definedName name="_xlnm.Print_Titles" localSheetId="2">Scenarios!$1:$3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7" i="2" l="1"/>
  <c r="B30" i="4" s="1"/>
  <c r="F36" i="2"/>
  <c r="B29" i="4" s="1"/>
  <c r="F35" i="2"/>
  <c r="B28" i="4" s="1"/>
  <c r="F34" i="2"/>
  <c r="B22" i="1" s="1"/>
  <c r="F33" i="2"/>
  <c r="B26" i="4" s="1"/>
  <c r="F32" i="2"/>
  <c r="B25" i="4" s="1"/>
  <c r="F31" i="2"/>
  <c r="B24" i="4" s="1"/>
  <c r="F30" i="2"/>
  <c r="B23" i="4" s="1"/>
  <c r="F29" i="2"/>
  <c r="B22" i="4" s="1"/>
  <c r="F28" i="2"/>
  <c r="B21" i="4" s="1"/>
  <c r="F27" i="2"/>
  <c r="B20" i="4" s="1"/>
  <c r="F26" i="2"/>
  <c r="F25" i="2"/>
  <c r="B18" i="4" s="1"/>
  <c r="F24" i="2"/>
  <c r="F23" i="2"/>
  <c r="F22" i="2"/>
  <c r="B15" i="4" s="1"/>
  <c r="F21" i="2"/>
  <c r="B14" i="4" s="1"/>
  <c r="F20" i="2"/>
  <c r="B13" i="4" s="1"/>
  <c r="F19" i="2"/>
  <c r="B12" i="4" s="1"/>
  <c r="F18" i="2"/>
  <c r="B11" i="4" s="1"/>
  <c r="F17" i="2"/>
  <c r="B10" i="4" s="1"/>
  <c r="F16" i="2"/>
  <c r="B9" i="4" s="1"/>
  <c r="F15" i="2"/>
  <c r="B8" i="4" s="1"/>
  <c r="F14" i="2"/>
  <c r="B7" i="4" s="1"/>
  <c r="F13" i="2"/>
  <c r="B6" i="4" s="1"/>
  <c r="F12" i="2"/>
  <c r="B5" i="4" s="1"/>
  <c r="B5" i="1"/>
  <c r="B4" i="1"/>
  <c r="B7" i="1" l="1"/>
  <c r="B8" i="1" s="1"/>
  <c r="B18" i="1" s="1"/>
  <c r="B19" i="1" s="1"/>
  <c r="B15" i="1"/>
  <c r="B9" i="1"/>
  <c r="B12" i="1"/>
  <c r="B13" i="1" s="1"/>
  <c r="B14" i="1" s="1"/>
  <c r="B16" i="4"/>
  <c r="B17" i="4"/>
  <c r="B19" i="4"/>
  <c r="B20" i="1"/>
  <c r="B27" i="4"/>
  <c r="B10" i="1" l="1"/>
  <c r="B32" i="1" s="1"/>
  <c r="B16" i="1"/>
  <c r="B21" i="1" s="1"/>
  <c r="B31" i="3"/>
  <c r="B11" i="3"/>
  <c r="B21" i="3"/>
  <c r="B31" i="1"/>
  <c r="B29" i="1"/>
  <c r="B26" i="1" l="1"/>
  <c r="B23" i="1"/>
  <c r="B27" i="1"/>
  <c r="B24" i="1" l="1"/>
  <c r="B28" i="1"/>
  <c r="B36" i="3"/>
</calcChain>
</file>

<file path=xl/sharedStrings.xml><?xml version="1.0" encoding="utf-8"?>
<sst xmlns="http://schemas.openxmlformats.org/spreadsheetml/2006/main" count="210" uniqueCount="109">
  <si>
    <t>P1 | Rental Deal Analyzer</t>
  </si>
  <si>
    <t>EXAMPLE - all property figures and evidence are hypothetical. Version 1.1 | USD | en-US</t>
  </si>
  <si>
    <t>MODELED RESULTS - readiness is not confirmation or a buy signal.</t>
  </si>
  <si>
    <t>Property / version</t>
  </si>
  <si>
    <t>Period / condition</t>
  </si>
  <si>
    <t>Down payment</t>
  </si>
  <si>
    <t>Loan principal</t>
  </si>
  <si>
    <t>Total initial reserves | two accounts</t>
  </si>
  <si>
    <t>Total initial cash committed</t>
  </si>
  <si>
    <t>Gross rent over rentable months</t>
  </si>
  <si>
    <t>Effective rental income</t>
  </si>
  <si>
    <t>Management expense</t>
  </si>
  <si>
    <t>Other annual operating expenses</t>
  </si>
  <si>
    <t>Annual NOI</t>
  </si>
  <si>
    <t>Monthly principal and interest</t>
  </si>
  <si>
    <t>Annual principal and interest</t>
  </si>
  <si>
    <t>Annual other financing charges</t>
  </si>
  <si>
    <t>Annual cash before reserve contributions</t>
  </si>
  <si>
    <t>Annual reserve contribution</t>
  </si>
  <si>
    <t>Annual cash after reserve contributions</t>
  </si>
  <si>
    <t>Monthly equivalent | not bank balance</t>
  </si>
  <si>
    <t>Read this result: a complete scenario can still lose cash. Alder declines at current terms: $86,000 committed; about ($2,592.99)/year after reserves. Your decision must also use the evidence and dated cash calendar.</t>
  </si>
  <si>
    <t>Cap rate | NOI / purchase price</t>
  </si>
  <si>
    <t>Cash-on-cash before reserves / total initial</t>
  </si>
  <si>
    <t>After-reserve cash / total initial</t>
  </si>
  <si>
    <t>Break-even monthly scheduled rent</t>
  </si>
  <si>
    <t>Servicer payment reconciliation</t>
  </si>
  <si>
    <t>Capital remaining after initial commitment</t>
  </si>
  <si>
    <t>Manual handoff: P2 receives ONLY replacement reserve (Inputs 16). P1 total initial reserves add operating cash (Inputs 17). Birch v2-D1: $13,500 + $4,000 = $17,500; total initial $83,000. Use the same property/period and record each source version; do not force different account scopes to match.</t>
  </si>
  <si>
    <t>P1 | Property inputs</t>
  </si>
  <si>
    <t>Property ID</t>
  </si>
  <si>
    <t>ALDER-01</t>
  </si>
  <si>
    <t>Analysis version</t>
  </si>
  <si>
    <t>v1</t>
  </si>
  <si>
    <t>Analysis / evidence date</t>
  </si>
  <si>
    <t>12-month model begins</t>
  </si>
  <si>
    <t>Period label</t>
  </si>
  <si>
    <t>Stabilized</t>
  </si>
  <si>
    <t>Financing scope</t>
  </si>
  <si>
    <t>Fixed loan</t>
  </si>
  <si>
    <t>Terms condition</t>
  </si>
  <si>
    <t>Scenario</t>
  </si>
  <si>
    <t>Input / unit</t>
  </si>
  <si>
    <t>Value</t>
  </si>
  <si>
    <t>State</t>
  </si>
  <si>
    <t>Source or assumption / scope</t>
  </si>
  <si>
    <t>Source date</t>
  </si>
  <si>
    <t>Validation</t>
  </si>
  <si>
    <t>Purchase price</t>
  </si>
  <si>
    <t>Authored case in Before You Buy the Rental; not a real quote.</t>
  </si>
  <si>
    <t>Down payment fraction</t>
  </si>
  <si>
    <t>Acquisition costs | once</t>
  </si>
  <si>
    <t>Initial work | once</t>
  </si>
  <si>
    <t>Replacement reserve at start</t>
  </si>
  <si>
    <t>Operating cash at start | separate</t>
  </si>
  <si>
    <t>Gross scheduled rent | monthly</t>
  </si>
  <si>
    <t>Rentable months in 12-month model</t>
  </si>
  <si>
    <t>Vacancy / collection loss fraction</t>
  </si>
  <si>
    <t>Management / collected rent fraction</t>
  </si>
  <si>
    <t>Property tax | annual</t>
  </si>
  <si>
    <t>Property insurance | annual</t>
  </si>
  <si>
    <t>HOA dues | annual</t>
  </si>
  <si>
    <t>Owner utilities | annual</t>
  </si>
  <si>
    <t>Routine maintenance | annual</t>
  </si>
  <si>
    <t>Leasing / turnover | annual</t>
  </si>
  <si>
    <t>Administration | annual</t>
  </si>
  <si>
    <t>Other operating expense | annual</t>
  </si>
  <si>
    <t>Other collected operating income | annual</t>
  </si>
  <si>
    <t>Contract annual interest rate (not APR)</t>
  </si>
  <si>
    <t>Monthly loan payments to amortize</t>
  </si>
  <si>
    <t>Other financing charge | monthly</t>
  </si>
  <si>
    <t>Replacement contribution | monthly</t>
  </si>
  <si>
    <t>Escrow transfer | monthly, informational</t>
  </si>
  <si>
    <t>Servicer total | monthly, informational</t>
  </si>
  <si>
    <t>Available property capital | separate</t>
  </si>
  <si>
    <t>Residential units (1-4)</t>
  </si>
  <si>
    <t>Intended use</t>
  </si>
  <si>
    <t>Long-term residential rental</t>
  </si>
  <si>
    <t>P1 | Optional local stress scenarios</t>
  </si>
  <si>
    <t>Activate only the alternatives you want. Unchanged inputs use the base model. A changed insurance value can stand on its own evidence even while the base quote is pending.</t>
  </si>
  <si>
    <t>Lower rent</t>
  </si>
  <si>
    <t>Active?</t>
  </si>
  <si>
    <t>Active</t>
  </si>
  <si>
    <t>Changed value | monthly USD</t>
  </si>
  <si>
    <t>Evidence or assumption</t>
  </si>
  <si>
    <t>Authored local stress assumption for ALDER-01.</t>
  </si>
  <si>
    <t>Evidence date</t>
  </si>
  <si>
    <t>Annual cash after reserves</t>
  </si>
  <si>
    <t>Higher loss</t>
  </si>
  <si>
    <t>Changed value | fraction</t>
  </si>
  <si>
    <t>Higher insurance</t>
  </si>
  <si>
    <t>Changed value | annual USD</t>
  </si>
  <si>
    <t>Combined lower rent + higher loss</t>
  </si>
  <si>
    <t>The combined result keeps BASE insurance. A separate higher-insurance alternative is shown above. Scenario amounts are not lender/market confirmations. Set a decision trigger and obtain the evidence that could change it.</t>
  </si>
  <si>
    <t>P1 | Input record for reading / printing</t>
  </si>
  <si>
    <t>Values below mirror Inputs. Full source/state/date fields remain in the XLSX. Gold cells on Inputs are editable; PDF is static.</t>
  </si>
  <si>
    <t>Start with the scope</t>
  </si>
  <si>
    <t>Complete property ID, version, dates, period and terms condition on Inputs. Use a single property with 1-4 residential units and a 12-month model. Fixed fully amortizing monthly loan or cash purchase only. The model starts before the first scheduled payment: 1-600 monthly payments; annual principal/interest counts MIN(12, payment count), never payments after payoff. A later ownership year needs the applicable remaining schedule. Other financing charges retain their separately entered 12-month scope. No APR substitution, ARM, balloon or interest-only model.</t>
  </si>
  <si>
    <t>Enter values and evidence</t>
  </si>
  <si>
    <t>Gold cells are editable. Every amount needs a state, a meaningful source or scenario explanation, and date. Unknown is never zero. Not applicable is accepted only with numeric 0 and a reason. For longer notes, select the row and use Home &gt; Format &gt; AutoFit Row Height or drag its lower divider. Inputs permits row sizing while formulas stay protected.</t>
  </si>
  <si>
    <t>Read independent outputs</t>
  </si>
  <si>
    <t>Overview preserves valid loan/down-payment outputs while missing insurance keeps NOI and dependent returns pending. Recurring costs cover 12 months; rentable months excludes known downtime before applying the separate loss fraction. Optional scenarios need their own changed inputs, not every other alternative.</t>
  </si>
  <si>
    <t>Keep accounts distinct</t>
  </si>
  <si>
    <t>Initial reserves are replacement reserve PLUS operating cash. P2 uses the replacement account only. For Birch v2-D1 use $13,500 replacement,4000 operating,17500 total reserves and $83,000 initial commitment. The book completes its dated cash bridge. Neither account is an additional annual operating expense.</t>
  </si>
  <si>
    <t>Decide and record</t>
  </si>
  <si>
    <t>Read annual cash after financing/reserves, the initial commitment and the evidence gaps. Use P2 for replacement dates and P3 for a written decision. A positive annual figure does not prove bills can be funded before rent arrives. No automatic buy recommendation.</t>
  </si>
  <si>
    <t>Compatibility / your information</t>
  </si>
  <si>
    <t>XLSX has no macros, price feeds, external workbook links or data collection. PDF views do not calculate. Save a local personal copy and retain a prior version before material changes. Native Excel compatibility is recorded in the package QA receipt; other spreadsheet engines are not certified.</t>
  </si>
  <si>
    <t>Rows35-36 reconcile a servicer payment only; not extra expenses. Cash mode needs100% down and no loan terms. A first-payment year has12 months of fixed costs; principal/interest ends at payoff. Other financing charges retain their12-month input scope. Loss applies only to rentable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</si>
</sst>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;\$0.00"/>
    <numFmt numFmtId="165" formatCode="mmm\ d\,\ yyyy"/>
  </numFmts>
  <fonts count="4" x14ac:knownFonts="1">
    <font>
      <sz val="11"/>
      <color rgb="FF203438"/>
      <name val="Aptos"/>
    </font>
    <font>
      <b/>
      <sz val="18"/>
      <color rgb="FFFFFFFF"/>
      <name val="Aptos Display"/>
    </font>
    <font>
      <b/>
      <sz val="11"/>
      <color rgb="FF203438"/>
      <name val="Aptos"/>
    </font>
    <font>
      <b/>
      <sz val="12"/>
      <color rgb="FF146A68"/>
      <name val="Aptos"/>
    </font>
  </fonts>
  <fills count="5">
    <fill>
      <patternFill patternType="none"/>
    </fill>
    <fill>
      <patternFill patternType="gray125"/>
    </fill>
    <fill>
      <patternFill patternType="solid">
        <fgColor rgb="FF203438"/>
        <bgColor indexed="64"/>
      </patternFill>
    </fill>
    <fill>
      <patternFill patternType="solid">
        <fgColor rgb="FFFFF0C9"/>
        <bgColor indexed="64"/>
      </patternFill>
    </fill>
    <fill>
      <patternFill patternType="solid">
        <fgColor rgb="FFE9EF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 applyProtection="1">
      <alignment vertical="center" wrapText="1"/>
    </xf>
    <xf numFmtId="0" fontId="2" fillId="4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 wrapText="1"/>
      <protection locked="0"/>
    </xf>
    <xf numFmtId="10" fontId="0" fillId="3" borderId="0" xfId="0" applyNumberFormat="1" applyFill="1" applyAlignment="1" applyProtection="1">
      <alignment vertical="center" wrapText="1"/>
      <protection locked="0"/>
    </xf>
    <xf numFmtId="165" fontId="0" fillId="3" borderId="0" xfId="0" applyNumberFormat="1" applyFill="1" applyAlignment="1" applyProtection="1">
      <alignment vertical="center" wrapText="1"/>
      <protection locked="0"/>
    </xf>
    <xf numFmtId="164" fontId="3" fillId="4" borderId="0" xfId="0" applyNumberFormat="1" applyFont="1" applyFill="1" applyAlignment="1" applyProtection="1">
      <alignment vertical="center" wrapText="1"/>
    </xf>
    <xf numFmtId="0" fontId="3" fillId="4" borderId="0" xfId="0" applyFont="1" applyFill="1" applyAlignment="1" applyProtection="1">
      <alignment vertical="center" wrapText="1"/>
    </xf>
    <xf numFmtId="10" fontId="3" fillId="4" borderId="0" xfId="0" applyNumberFormat="1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2" fillId="4" borderId="0" xfId="0" applyFont="1" applyFill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showGridLines="0" tabSelected="1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46" customWidth="1"/>
    <col min="2" max="2" width="36" customWidth="1"/>
  </cols>
  <sheetData>
    <row r="1" spans="1:2" ht="42" customHeight="1" x14ac:dyDescent="0.25">
      <c r="A1" s="9" t="s">
        <v>0</v>
      </c>
      <c r="B1" s="10"/>
    </row>
    <row r="2" spans="1:2" ht="39.950000000000003" customHeight="1" x14ac:dyDescent="0.25">
      <c r="A2" s="10" t="s">
        <v>1</v>
      </c>
      <c r="B2" s="10"/>
    </row>
    <row r="3" spans="1:2" ht="35.1" customHeight="1" x14ac:dyDescent="0.25">
      <c r="A3" s="11" t="s">
        <v>2</v>
      </c>
      <c r="B3" s="10"/>
    </row>
    <row r="4" spans="1:2" ht="36" customHeight="1" x14ac:dyDescent="0.25">
      <c r="A4" t="s">
        <v>3</v>
      </c>
      <c r="B4" s="7" t="str">
        <f>Inputs!B4&amp;" / "&amp;Inputs!B5</f>
        <v>ALDER-01 / v1</v>
      </c>
    </row>
    <row r="5" spans="1:2" ht="36" customHeight="1" x14ac:dyDescent="0.25">
      <c r="A5" t="s">
        <v>4</v>
      </c>
      <c r="B5" s="7" t="str">
        <f>Inputs!B8&amp;" / "&amp;Inputs!B10&amp;" | "&amp;IF(ISNUMBER(Inputs!B7),TEXT(Inputs!B7,"mmm yyyy"),"start pending")</f>
        <v>Stabilized / Scenario | Nov 2026</v>
      </c>
    </row>
    <row r="7" spans="1:2" ht="36" customHeight="1" x14ac:dyDescent="0.25">
      <c r="A7" t="s">
        <v>5</v>
      </c>
      <c r="B7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year"),OR(Inputs!B10="Current",Inputs!B10="Proposed",Inputs!B10="Scenario")),AND(Inputs!F12="OK",Inputs!F13="OK")),Inputs!B12*Inputs!B13,"PENDING - price / down / context"),"PENDING - check invalid input")</f>
        <v>62500</v>
      </c>
    </row>
    <row r="8" spans="1:2" ht="36" customHeight="1" x14ac:dyDescent="0.25">
      <c r="A8" t="s">
        <v>6</v>
      </c>
      <c r="B8" s="6">
        <f>IFERROR(IF(ISNUMBER(B7),Inputs!B12-B7,"PENDING - price / down"),"PENDING - check invalid input")</f>
        <v>187500</v>
      </c>
    </row>
    <row r="9" spans="1:2" ht="36" customHeight="1" x14ac:dyDescent="0.25">
      <c r="A9" t="s">
        <v>7</v>
      </c>
      <c r="B9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year"),OR(Inputs!B10="Current",Inputs!B10="Proposed",Inputs!B10="Scenario")),AND(Inputs!F16="OK",Inputs!F17="OK")),Inputs!B16+Inputs!B17,"PENDING - replacement / operating cash"),"PENDING - check invalid input")</f>
        <v>7500</v>
      </c>
    </row>
    <row r="10" spans="1:2" ht="36" customHeight="1" x14ac:dyDescent="0.25">
      <c r="A10" t="s">
        <v>8</v>
      </c>
      <c r="B10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year"),OR(Inputs!B10="Current",Inputs!B10="Proposed",Inputs!B10="Scenario")),AND(Inputs!F12="OK",Inputs!F13="OK",Inputs!F14="OK",Inputs!F15="OK",Inputs!F16="OK",Inputs!F17="OK")),B7+SUM(Inputs!B14:B17),"PENDING - initial cash components"),"PENDING - check invalid input")</f>
        <v>86000</v>
      </c>
    </row>
    <row r="12" spans="1:2" ht="36" customHeight="1" x14ac:dyDescent="0.25">
      <c r="A12" t="s">
        <v>9</v>
      </c>
      <c r="B12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year"),OR(Inputs!B10="Current",Inputs!B10="Proposed",Inputs!B10="Scenario")),AND(Inputs!F18="OK",Inputs!F19="OK")),Inputs!B18*Inputs!B19,"PENDING - rent / rentable months"),"PENDING - check invalid input")</f>
        <v>28800</v>
      </c>
    </row>
    <row r="13" spans="1:2" ht="36" customHeight="1" x14ac:dyDescent="0.25">
      <c r="A13" t="s">
        <v>10</v>
      </c>
      <c r="B13" s="6">
        <f>IFERROR(IF(AND(ISNUMBER(B12),AND(Inputs!F20="OK")),B12*(1-Inputs!B20),"PENDING - loss assumption"),"PENDING - check invalid input")</f>
        <v>26496</v>
      </c>
    </row>
    <row r="14" spans="1:2" ht="36" customHeight="1" x14ac:dyDescent="0.25">
      <c r="A14" t="s">
        <v>11</v>
      </c>
      <c r="B14" s="6">
        <f>IFERROR(IF(AND(ISNUMBER(B13),AND(Inputs!F21="OK")),B13*Inputs!B21,"PENDING - management assumption"),"PENDING - check invalid input")</f>
        <v>2119.6799999999998</v>
      </c>
    </row>
    <row r="15" spans="1:2" ht="36" customHeight="1" x14ac:dyDescent="0.25">
      <c r="A15" t="s">
        <v>12</v>
      </c>
      <c r="B15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year"),OR(Inputs!B10="Current",Inputs!B10="Proposed",Inputs!B10="Scenario")),AND(Inputs!F22="OK",Inputs!F23="OK",Inputs!F24="OK",Inputs!F25="OK",Inputs!F26="OK",Inputs!F27="OK",Inputs!F28="OK",Inputs!F29="OK")),SUM(Inputs!B22:B29),"PENDING - operating expenses"),"PENDING - check invalid input")</f>
        <v>9000</v>
      </c>
    </row>
    <row r="16" spans="1:2" ht="36" customHeight="1" x14ac:dyDescent="0.25">
      <c r="A16" t="s">
        <v>13</v>
      </c>
      <c r="B16" s="6">
        <f>IFERROR(IF(AND(ISNUMBER(B13),ISNUMBER(B14),ISNUMBER(B15),AND(Inputs!F30="OK")),B13+Inputs!B30-B14-B15,"PENDING - rent / all operating costs"),"PENDING - check invalid input")</f>
        <v>15376.32</v>
      </c>
    </row>
    <row r="18" spans="1:2" ht="36" customHeight="1" x14ac:dyDescent="0.25">
      <c r="A18" t="s">
        <v>14</v>
      </c>
      <c r="B18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year"),OR(Inputs!B10="Current",Inputs!B10="Proposed",Inputs!B10="Scenario")),ISNUMBER(B8),OR(AND(Inputs!B9="Cash",B8=0),AND(Inputs!B9="Fixed loan",B8&gt;0,AND(Inputs!F31="OK",Inputs!F32="OK")))),IF(Inputs!B9="Cash",0,IF(Inputs!B31=0,B8/Inputs!B32,-PMT(Inputs!B31/12,Inputs!B32,B8))),"PENDING - loan terms / financing scope"),"PENDING - check invalid input")</f>
        <v>1247.4421784609685</v>
      </c>
    </row>
    <row r="19" spans="1:2" ht="36" customHeight="1" x14ac:dyDescent="0.25">
      <c r="A19" t="s">
        <v>15</v>
      </c>
      <c r="B19" s="6">
        <f>IFERROR(IF(ISNUMBER(B18),IF(Inputs!B9="Cash",0,B18*MIN(12,Inputs!B32)),"PENDING - monthly debt"),"PENDING - check invalid input")</f>
        <v>14969.306141531622</v>
      </c>
    </row>
    <row r="20" spans="1:2" ht="36" customHeight="1" x14ac:dyDescent="0.25">
      <c r="A20" t="s">
        <v>16</v>
      </c>
      <c r="B20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year"),OR(Inputs!B10="Current",Inputs!B10="Proposed",Inputs!B10="Scenario")),AND(Inputs!F33="OK")),Inputs!B33*12,"PENDING - financing charges"),"PENDING - check invalid input")</f>
        <v>0</v>
      </c>
    </row>
    <row r="21" spans="1:2" ht="36" customHeight="1" x14ac:dyDescent="0.25">
      <c r="A21" t="s">
        <v>17</v>
      </c>
      <c r="B21" s="6">
        <f>IFERROR(IF(AND(ISNUMBER(B16),ISNUMBER(B19),ISNUMBER(B20)),B16-B19-B20,"PENDING - NOI / financing"),"PENDING - check invalid input")</f>
        <v>407.01385846837729</v>
      </c>
    </row>
    <row r="22" spans="1:2" ht="36" customHeight="1" x14ac:dyDescent="0.25">
      <c r="A22" t="s">
        <v>18</v>
      </c>
      <c r="B22" s="6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year"),OR(Inputs!B10="Current",Inputs!B10="Proposed",Inputs!B10="Scenario")),AND(Inputs!F34="OK")),Inputs!B34*12,"PENDING - reserve contribution"),"PENDING - check invalid input")</f>
        <v>3000</v>
      </c>
    </row>
    <row r="23" spans="1:2" ht="36" customHeight="1" x14ac:dyDescent="0.25">
      <c r="A23" t="s">
        <v>19</v>
      </c>
      <c r="B23" s="6">
        <f>IFERROR(IF(AND(ISNUMBER(B21),ISNUMBER(B22)),B21-B22,"PENDING - operating cash / reserves"),"PENDING - check invalid input")</f>
        <v>-2592.9861415316227</v>
      </c>
    </row>
    <row r="24" spans="1:2" ht="36" customHeight="1" x14ac:dyDescent="0.25">
      <c r="A24" t="s">
        <v>20</v>
      </c>
      <c r="B24" s="6">
        <f>IFERROR(IF(ISNUMBER(B23),B23/12,"PENDING - annual cash"),"PENDING - check invalid input")</f>
        <v>-216.08217846096855</v>
      </c>
    </row>
    <row r="25" spans="1:2" ht="65.099999999999994" customHeight="1" x14ac:dyDescent="0.25">
      <c r="A25" s="10" t="s">
        <v>21</v>
      </c>
      <c r="B25" s="10"/>
    </row>
    <row r="26" spans="1:2" ht="36" customHeight="1" x14ac:dyDescent="0.25">
      <c r="A26" t="s">
        <v>22</v>
      </c>
      <c r="B26" s="8">
        <f>IFERROR(IF(AND(ISNUMBER(B16),AND(Inputs!F12="OK")),B16/Inputs!B12,"PENDING - NOI / price"),"PENDING - check invalid input")</f>
        <v>6.1505279999999996E-2</v>
      </c>
    </row>
    <row r="27" spans="1:2" ht="36" customHeight="1" x14ac:dyDescent="0.25">
      <c r="A27" t="s">
        <v>23</v>
      </c>
      <c r="B27" s="8">
        <f>IFERROR(IF(AND(ISNUMBER(B21),ISNUMBER(B10),B10&gt;0),B21/B10,"PENDING - cash / initial commitment"),"PENDING - check invalid input")</f>
        <v>4.7327192845160147E-3</v>
      </c>
    </row>
    <row r="28" spans="1:2" ht="36" customHeight="1" x14ac:dyDescent="0.25">
      <c r="A28" t="s">
        <v>24</v>
      </c>
      <c r="B28" s="8">
        <f>IFERROR(IF(AND(ISNUMBER(B23),ISNUMBER(B10),B10&gt;0),B23/B10,"PENDING - cash / initial commitment"),"PENDING - check invalid input")</f>
        <v>-3.0151001645716543E-2</v>
      </c>
    </row>
    <row r="29" spans="1:2" ht="36" customHeight="1" x14ac:dyDescent="0.25">
      <c r="A29" t="s">
        <v>25</v>
      </c>
      <c r="B29" s="6">
        <f>IFERROR(IF(AND(ISNUMBER(B15),ISNUMBER(B19),ISNUMBER(B20),ISNUMBER(B22),Inputs!F20="OK",Inputs!F21="OK",Inputs!F30="OK",Inputs!B30=0,Inputs!B20&lt;1,Inputs!B21&lt;1,Inputs!B19=12),(B15+B19+B20+B22)/(12*(1-Inputs!B20)*(1-Inputs!B21)),"PENDING - simple12-month case only"),"PENDING - check invalid input")</f>
        <v>2655.2955794671179</v>
      </c>
    </row>
    <row r="31" spans="1:2" ht="36" customHeight="1" x14ac:dyDescent="0.25">
      <c r="A31" t="s">
        <v>26</v>
      </c>
      <c r="B31" s="7" t="str">
        <f>IFERROR(IF(AND(ISNUMBER(B18),Inputs!F33="OK",Inputs!F35="OK",Inputs!F36="OK"),IF(ABS(Inputs!B36-(B18+Inputs!B35+Inputs!B33))&lt;0.02,"MATCH - escrow counted once","MISMATCH - inspect payment components"),"PENDING - optional servicer data"),"PENDING - check invalid input")</f>
        <v>MATCH - escrow counted once</v>
      </c>
    </row>
    <row r="32" spans="1:2" ht="36" customHeight="1" x14ac:dyDescent="0.25">
      <c r="A32" t="s">
        <v>27</v>
      </c>
      <c r="B32" s="6">
        <f>IFERROR(IF(AND(ISNUMBER(B10),Inputs!F37="OK"),Inputs!B37-B10,"PENDING - available capital / initial cash"),"PENDING - check invalid input")</f>
        <v>4000</v>
      </c>
    </row>
    <row r="36" spans="1:2" ht="78" customHeight="1" x14ac:dyDescent="0.25">
      <c r="A36" s="10" t="s">
        <v>28</v>
      </c>
      <c r="B36" s="10"/>
    </row>
  </sheetData>
  <sheetProtection sheet="1" objects="1" scenarios="1"/>
  <mergeCells count="5">
    <mergeCell ref="A1:B1"/>
    <mergeCell ref="A2:B2"/>
    <mergeCell ref="A3:B3"/>
    <mergeCell ref="A25:B25"/>
    <mergeCell ref="A36:B36"/>
  </mergeCell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  <rowBreaks count="2" manualBreakCount="2">
    <brk id="17" max="1" man="1"/>
    <brk id="25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1"/>
  <sheetViews>
    <sheetView showGridLines="0" workbookViewId="0">
      <pane ySplit="3" topLeftCell="A4" activePane="bottomLeft" state="frozen"/>
      <selection pane="bottomLeft" sqref="A1:F1"/>
    </sheetView>
  </sheetViews>
  <sheetFormatPr defaultRowHeight="15" x14ac:dyDescent="0.25"/>
  <cols>
    <col min="1" max="1" width="36" customWidth="1"/>
    <col min="2" max="3" width="19" customWidth="1"/>
    <col min="4" max="4" width="52" customWidth="1"/>
    <col min="5" max="5" width="15" customWidth="1"/>
    <col min="6" max="6" width="23" customWidth="1"/>
  </cols>
  <sheetData>
    <row r="1" spans="1:6" ht="42" customHeight="1" x14ac:dyDescent="0.25">
      <c r="A1" s="9" t="s">
        <v>29</v>
      </c>
      <c r="B1" s="10"/>
      <c r="C1" s="10"/>
      <c r="D1" s="10"/>
      <c r="E1" s="10"/>
      <c r="F1" s="10"/>
    </row>
    <row r="2" spans="1:6" ht="39.950000000000003" customHeight="1" x14ac:dyDescent="0.25">
      <c r="A2" s="10" t="s">
        <v>1</v>
      </c>
      <c r="B2" s="10"/>
      <c r="C2" s="10"/>
      <c r="D2" s="10"/>
      <c r="E2" s="10"/>
      <c r="F2" s="10"/>
    </row>
    <row r="4" spans="1:6" ht="30" customHeight="1" x14ac:dyDescent="0.25">
      <c r="A4" t="s">
        <v>30</v>
      </c>
      <c r="B4" s="2" t="s">
        <v>31</v>
      </c>
    </row>
    <row r="5" spans="1:6" ht="30" customHeight="1" x14ac:dyDescent="0.25">
      <c r="A5" t="s">
        <v>32</v>
      </c>
      <c r="B5" s="2" t="s">
        <v>33</v>
      </c>
    </row>
    <row r="6" spans="1:6" ht="30" customHeight="1" x14ac:dyDescent="0.25">
      <c r="A6" t="s">
        <v>34</v>
      </c>
      <c r="B6" s="5">
        <v>46298</v>
      </c>
    </row>
    <row r="7" spans="1:6" ht="30" customHeight="1" x14ac:dyDescent="0.25">
      <c r="A7" t="s">
        <v>35</v>
      </c>
      <c r="B7" s="5">
        <v>46327</v>
      </c>
    </row>
    <row r="8" spans="1:6" ht="30" customHeight="1" x14ac:dyDescent="0.25">
      <c r="A8" t="s">
        <v>36</v>
      </c>
      <c r="B8" s="2" t="s">
        <v>37</v>
      </c>
    </row>
    <row r="9" spans="1:6" ht="30" customHeight="1" x14ac:dyDescent="0.25">
      <c r="A9" t="s">
        <v>38</v>
      </c>
      <c r="B9" s="2" t="s">
        <v>39</v>
      </c>
    </row>
    <row r="10" spans="1:6" ht="30" customHeight="1" x14ac:dyDescent="0.25">
      <c r="A10" t="s">
        <v>40</v>
      </c>
      <c r="B10" s="2" t="s">
        <v>41</v>
      </c>
    </row>
    <row r="11" spans="1:6" ht="38.1" customHeight="1" x14ac:dyDescent="0.25">
      <c r="A11" s="1" t="s">
        <v>42</v>
      </c>
      <c r="B11" s="1" t="s">
        <v>43</v>
      </c>
      <c r="C11" s="1" t="s">
        <v>44</v>
      </c>
      <c r="D11" s="1" t="s">
        <v>45</v>
      </c>
      <c r="E11" s="1" t="s">
        <v>46</v>
      </c>
      <c r="F11" s="1" t="s">
        <v>47</v>
      </c>
    </row>
    <row r="12" spans="1:6" ht="60" customHeight="1" x14ac:dyDescent="0.25">
      <c r="A12" t="s">
        <v>48</v>
      </c>
      <c r="B12" s="3">
        <v>250000</v>
      </c>
      <c r="C12" s="2" t="s">
        <v>41</v>
      </c>
      <c r="D12" s="2" t="s">
        <v>49</v>
      </c>
      <c r="E12" s="5">
        <v>46298</v>
      </c>
      <c r="F12" s="7" t="str">
        <f>IFERROR(IF(AND(ISNUMBER(B12),B12&gt;0,AND(OR(C12="Documented",C12="Estimate",C12="Scenario",C12="Not applicable"),LEN(TRIM(D12))&gt;=8,ISERROR(MATCH(LOWER(TRIM(D12)),{"unknown","pending","source","example","not known","to be determined","tbd"},0)),ISNUMBER(E12),E12&gt;0),OR(C12&lt;&gt;"Not applicable",B12=0)),"OK","PENDING - value / basis / date"),"PENDING - check invalid input")</f>
        <v>OK</v>
      </c>
    </row>
    <row r="13" spans="1:6" ht="60" customHeight="1" x14ac:dyDescent="0.25">
      <c r="A13" t="s">
        <v>50</v>
      </c>
      <c r="B13" s="4">
        <v>0.25</v>
      </c>
      <c r="C13" s="2" t="s">
        <v>41</v>
      </c>
      <c r="D13" s="2" t="s">
        <v>49</v>
      </c>
      <c r="E13" s="5">
        <v>46298</v>
      </c>
      <c r="F13" s="7" t="str">
        <f>IFERROR(IF(AND(ISNUMBER(B13),AND(B13&gt;=0,B13&lt;=1,OR(AND(B9="Cash",B13=1),AND(B9="Fixed loan",B13&lt;1))),AND(OR(C13="Documented",C13="Estimate",C13="Scenario",C13="Not applicable"),LEN(TRIM(D13))&gt;=8,ISERROR(MATCH(LOWER(TRIM(D13)),{"unknown","pending","source","example","not known","to be determined","tbd"},0)),ISNUMBER(E13),E13&gt;0),OR(C13&lt;&gt;"Not applicable",B13=0)),"OK","PENDING - value / basis / date"),"PENDING - check invalid input")</f>
        <v>OK</v>
      </c>
    </row>
    <row r="14" spans="1:6" ht="60" customHeight="1" x14ac:dyDescent="0.25">
      <c r="A14" t="s">
        <v>51</v>
      </c>
      <c r="B14" s="3">
        <v>6000</v>
      </c>
      <c r="C14" s="2" t="s">
        <v>41</v>
      </c>
      <c r="D14" s="2" t="s">
        <v>49</v>
      </c>
      <c r="E14" s="5">
        <v>46298</v>
      </c>
      <c r="F14" s="7" t="str">
        <f>IFERROR(IF(AND(ISNUMBER(B14),B14&gt;=0,AND(OR(C14="Documented",C14="Estimate",C14="Scenario",C14="Not applicable"),LEN(TRIM(D14))&gt;=8,ISERROR(MATCH(LOWER(TRIM(D14)),{"unknown","pending","source","example","not known","to be determined","tbd"},0)),ISNUMBER(E14),E14&gt;0),OR(C14&lt;&gt;"Not applicable",B14=0)),"OK","PENDING - value / basis / date"),"PENDING - check invalid input")</f>
        <v>OK</v>
      </c>
    </row>
    <row r="15" spans="1:6" ht="60" customHeight="1" x14ac:dyDescent="0.25">
      <c r="A15" t="s">
        <v>52</v>
      </c>
      <c r="B15" s="3">
        <v>10000</v>
      </c>
      <c r="C15" s="2" t="s">
        <v>41</v>
      </c>
      <c r="D15" s="2" t="s">
        <v>49</v>
      </c>
      <c r="E15" s="5">
        <v>46298</v>
      </c>
      <c r="F15" s="7" t="str">
        <f>IFERROR(IF(AND(ISNUMBER(B15),B15&gt;=0,AND(OR(C15="Documented",C15="Estimate",C15="Scenario",C15="Not applicable"),LEN(TRIM(D15))&gt;=8,ISERROR(MATCH(LOWER(TRIM(D15)),{"unknown","pending","source","example","not known","to be determined","tbd"},0)),ISNUMBER(E15),E15&gt;0),OR(C15&lt;&gt;"Not applicable",B15=0)),"OK","PENDING - value / basis / date"),"PENDING - check invalid input")</f>
        <v>OK</v>
      </c>
    </row>
    <row r="16" spans="1:6" ht="60" customHeight="1" x14ac:dyDescent="0.25">
      <c r="A16" t="s">
        <v>53</v>
      </c>
      <c r="B16" s="3">
        <v>7500</v>
      </c>
      <c r="C16" s="2" t="s">
        <v>41</v>
      </c>
      <c r="D16" s="2" t="s">
        <v>49</v>
      </c>
      <c r="E16" s="5">
        <v>46298</v>
      </c>
      <c r="F16" s="7" t="str">
        <f>IFERROR(IF(AND(ISNUMBER(B16),B16&gt;=0,AND(OR(C16="Documented",C16="Estimate",C16="Scenario",C16="Not applicable"),LEN(TRIM(D16))&gt;=8,ISERROR(MATCH(LOWER(TRIM(D16)),{"unknown","pending","source","example","not known","to be determined","tbd"},0)),ISNUMBER(E16),E16&gt;0),OR(C16&lt;&gt;"Not applicable",B16=0)),"OK","PENDING - value / basis / date"),"PENDING - check invalid input")</f>
        <v>OK</v>
      </c>
    </row>
    <row r="17" spans="1:6" ht="60" customHeight="1" x14ac:dyDescent="0.25">
      <c r="A17" t="s">
        <v>54</v>
      </c>
      <c r="B17" s="3">
        <v>0</v>
      </c>
      <c r="C17" s="2" t="s">
        <v>41</v>
      </c>
      <c r="D17" s="2" t="s">
        <v>49</v>
      </c>
      <c r="E17" s="5">
        <v>46298</v>
      </c>
      <c r="F17" s="7" t="str">
        <f>IFERROR(IF(AND(ISNUMBER(B17),B17&gt;=0,AND(OR(C17="Documented",C17="Estimate",C17="Scenario",C17="Not applicable"),LEN(TRIM(D17))&gt;=8,ISERROR(MATCH(LOWER(TRIM(D17)),{"unknown","pending","source","example","not known","to be determined","tbd"},0)),ISNUMBER(E17),E17&gt;0),OR(C17&lt;&gt;"Not applicable",B17=0)),"OK","PENDING - value / basis / date"),"PENDING - check invalid input")</f>
        <v>OK</v>
      </c>
    </row>
    <row r="18" spans="1:6" ht="60" customHeight="1" x14ac:dyDescent="0.25">
      <c r="A18" t="s">
        <v>55</v>
      </c>
      <c r="B18" s="3">
        <v>2400</v>
      </c>
      <c r="C18" s="2" t="s">
        <v>41</v>
      </c>
      <c r="D18" s="2" t="s">
        <v>49</v>
      </c>
      <c r="E18" s="5">
        <v>46298</v>
      </c>
      <c r="F18" s="7" t="str">
        <f>IFERROR(IF(AND(ISNUMBER(B18),B18&gt;=0,AND(OR(C18="Documented",C18="Estimate",C18="Scenario",C18="Not applicable"),LEN(TRIM(D18))&gt;=8,ISERROR(MATCH(LOWER(TRIM(D18)),{"unknown","pending","source","example","not known","to be determined","tbd"},0)),ISNUMBER(E18),E18&gt;0),OR(C18&lt;&gt;"Not applicable",B18=0)),"OK","PENDING - value / basis / date"),"PENDING - check invalid input")</f>
        <v>OK</v>
      </c>
    </row>
    <row r="19" spans="1:6" ht="60" customHeight="1" x14ac:dyDescent="0.25">
      <c r="A19" t="s">
        <v>56</v>
      </c>
      <c r="B19" s="2">
        <v>12</v>
      </c>
      <c r="C19" s="2" t="s">
        <v>41</v>
      </c>
      <c r="D19" s="2" t="s">
        <v>49</v>
      </c>
      <c r="E19" s="5">
        <v>46298</v>
      </c>
      <c r="F19" s="7" t="str">
        <f>IFERROR(IF(AND(ISNUMBER(B19),AND(B19&gt;=0,B19&lt;=12,MOD(B19,1)=0),AND(OR(C19="Documented",C19="Estimate",C19="Scenario",C19="Not applicable"),LEN(TRIM(D19))&gt;=8,ISERROR(MATCH(LOWER(TRIM(D19)),{"unknown","pending","source","example","not known","to be determined","tbd"},0)),ISNUMBER(E19),E19&gt;0),OR(C19&lt;&gt;"Not applicable",B19=0)),"OK","PENDING - value / basis / date"),"PENDING - check invalid input")</f>
        <v>OK</v>
      </c>
    </row>
    <row r="20" spans="1:6" ht="60" customHeight="1" x14ac:dyDescent="0.25">
      <c r="A20" t="s">
        <v>57</v>
      </c>
      <c r="B20" s="4">
        <v>0.08</v>
      </c>
      <c r="C20" s="2" t="s">
        <v>41</v>
      </c>
      <c r="D20" s="2" t="s">
        <v>49</v>
      </c>
      <c r="E20" s="5">
        <v>46298</v>
      </c>
      <c r="F20" s="7" t="str">
        <f>IFERROR(IF(AND(ISNUMBER(B20),AND(B20&gt;=0,B20&lt;=1),AND(OR(C20="Documented",C20="Estimate",C20="Scenario",C20="Not applicable"),LEN(TRIM(D20))&gt;=8,ISERROR(MATCH(LOWER(TRIM(D20)),{"unknown","pending","source","example","not known","to be determined","tbd"},0)),ISNUMBER(E20),E20&gt;0),OR(C20&lt;&gt;"Not applicable",B20=0)),"OK","PENDING - value / basis / date"),"PENDING - check invalid input")</f>
        <v>OK</v>
      </c>
    </row>
    <row r="21" spans="1:6" ht="60" customHeight="1" x14ac:dyDescent="0.25">
      <c r="A21" t="s">
        <v>58</v>
      </c>
      <c r="B21" s="4">
        <v>0.08</v>
      </c>
      <c r="C21" s="2" t="s">
        <v>41</v>
      </c>
      <c r="D21" s="2" t="s">
        <v>49</v>
      </c>
      <c r="E21" s="5">
        <v>46298</v>
      </c>
      <c r="F21" s="7" t="str">
        <f>IFERROR(IF(AND(ISNUMBER(B21),AND(B21&gt;=0,B21&lt;=1),AND(OR(C21="Documented",C21="Estimate",C21="Scenario",C21="Not applicable"),LEN(TRIM(D21))&gt;=8,ISERROR(MATCH(LOWER(TRIM(D21)),{"unknown","pending","source","example","not known","to be determined","tbd"},0)),ISNUMBER(E21),E21&gt;0),OR(C21&lt;&gt;"Not applicable",B21=0)),"OK","PENDING - value / basis / date"),"PENDING - check invalid input")</f>
        <v>OK</v>
      </c>
    </row>
    <row r="22" spans="1:6" ht="60" customHeight="1" x14ac:dyDescent="0.25">
      <c r="A22" t="s">
        <v>59</v>
      </c>
      <c r="B22" s="3">
        <v>3600</v>
      </c>
      <c r="C22" s="2" t="s">
        <v>41</v>
      </c>
      <c r="D22" s="2" t="s">
        <v>49</v>
      </c>
      <c r="E22" s="5">
        <v>46298</v>
      </c>
      <c r="F22" s="7" t="str">
        <f>IFERROR(IF(AND(ISNUMBER(B22),B22&gt;=0,AND(OR(C22="Documented",C22="Estimate",C22="Scenario",C22="Not applicable"),LEN(TRIM(D22))&gt;=8,ISERROR(MATCH(LOWER(TRIM(D22)),{"unknown","pending","source","example","not known","to be determined","tbd"},0)),ISNUMBER(E22),E22&gt;0),OR(C22&lt;&gt;"Not applicable",B22=0)),"OK","PENDING - value / basis / date"),"PENDING - check invalid input")</f>
        <v>OK</v>
      </c>
    </row>
    <row r="23" spans="1:6" ht="60" customHeight="1" x14ac:dyDescent="0.25">
      <c r="A23" t="s">
        <v>60</v>
      </c>
      <c r="B23" s="3">
        <v>1800</v>
      </c>
      <c r="C23" s="2" t="s">
        <v>41</v>
      </c>
      <c r="D23" s="2" t="s">
        <v>49</v>
      </c>
      <c r="E23" s="5">
        <v>46298</v>
      </c>
      <c r="F23" s="7" t="str">
        <f>IFERROR(IF(AND(ISNUMBER(B23),B23&gt;=0,AND(OR(C23="Documented",C23="Estimate",C23="Scenario",C23="Not applicable"),LEN(TRIM(D23))&gt;=8,ISERROR(MATCH(LOWER(TRIM(D23)),{"unknown","pending","source","example","not known","to be determined","tbd"},0)),ISNUMBER(E23),E23&gt;0),OR(C23&lt;&gt;"Not applicable",B23=0)),"OK","PENDING - value / basis / date"),"PENDING - check invalid input")</f>
        <v>OK</v>
      </c>
    </row>
    <row r="24" spans="1:6" ht="60" customHeight="1" x14ac:dyDescent="0.25">
      <c r="A24" t="s">
        <v>61</v>
      </c>
      <c r="B24" s="3">
        <v>600</v>
      </c>
      <c r="C24" s="2" t="s">
        <v>41</v>
      </c>
      <c r="D24" s="2" t="s">
        <v>49</v>
      </c>
      <c r="E24" s="5">
        <v>46298</v>
      </c>
      <c r="F24" s="7" t="str">
        <f>IFERROR(IF(AND(ISNUMBER(B24),B24&gt;=0,AND(OR(C24="Documented",C24="Estimate",C24="Scenario",C24="Not applicable"),LEN(TRIM(D24))&gt;=8,ISERROR(MATCH(LOWER(TRIM(D24)),{"unknown","pending","source","example","not known","to be determined","tbd"},0)),ISNUMBER(E24),E24&gt;0),OR(C24&lt;&gt;"Not applicable",B24=0)),"OK","PENDING - value / basis / date"),"PENDING - check invalid input")</f>
        <v>OK</v>
      </c>
    </row>
    <row r="25" spans="1:6" ht="60" customHeight="1" x14ac:dyDescent="0.25">
      <c r="A25" t="s">
        <v>62</v>
      </c>
      <c r="B25" s="3">
        <v>720</v>
      </c>
      <c r="C25" s="2" t="s">
        <v>41</v>
      </c>
      <c r="D25" s="2" t="s">
        <v>49</v>
      </c>
      <c r="E25" s="5">
        <v>46298</v>
      </c>
      <c r="F25" s="7" t="str">
        <f>IFERROR(IF(AND(ISNUMBER(B25),B25&gt;=0,AND(OR(C25="Documented",C25="Estimate",C25="Scenario",C25="Not applicable"),LEN(TRIM(D25))&gt;=8,ISERROR(MATCH(LOWER(TRIM(D25)),{"unknown","pending","source","example","not known","to be determined","tbd"},0)),ISNUMBER(E25),E25&gt;0),OR(C25&lt;&gt;"Not applicable",B25=0)),"OK","PENDING - value / basis / date"),"PENDING - check invalid input")</f>
        <v>OK</v>
      </c>
    </row>
    <row r="26" spans="1:6" ht="60" customHeight="1" x14ac:dyDescent="0.25">
      <c r="A26" t="s">
        <v>63</v>
      </c>
      <c r="B26" s="3">
        <v>1440</v>
      </c>
      <c r="C26" s="2" t="s">
        <v>41</v>
      </c>
      <c r="D26" s="2" t="s">
        <v>49</v>
      </c>
      <c r="E26" s="5">
        <v>46298</v>
      </c>
      <c r="F26" s="7" t="str">
        <f>IFERROR(IF(AND(ISNUMBER(B26),B26&gt;=0,AND(OR(C26="Documented",C26="Estimate",C26="Scenario",C26="Not applicable"),LEN(TRIM(D26))&gt;=8,ISERROR(MATCH(LOWER(TRIM(D26)),{"unknown","pending","source","example","not known","to be determined","tbd"},0)),ISNUMBER(E26),E26&gt;0),OR(C26&lt;&gt;"Not applicable",B26=0)),"OK","PENDING - value / basis / date"),"PENDING - check invalid input")</f>
        <v>OK</v>
      </c>
    </row>
    <row r="27" spans="1:6" ht="60" customHeight="1" x14ac:dyDescent="0.25">
      <c r="A27" t="s">
        <v>64</v>
      </c>
      <c r="B27" s="3">
        <v>600</v>
      </c>
      <c r="C27" s="2" t="s">
        <v>41</v>
      </c>
      <c r="D27" s="2" t="s">
        <v>49</v>
      </c>
      <c r="E27" s="5">
        <v>46298</v>
      </c>
      <c r="F27" s="7" t="str">
        <f>IFERROR(IF(AND(ISNUMBER(B27),B27&gt;=0,AND(OR(C27="Documented",C27="Estimate",C27="Scenario",C27="Not applicable"),LEN(TRIM(D27))&gt;=8,ISERROR(MATCH(LOWER(TRIM(D27)),{"unknown","pending","source","example","not known","to be determined","tbd"},0)),ISNUMBER(E27),E27&gt;0),OR(C27&lt;&gt;"Not applicable",B27=0)),"OK","PENDING - value / basis / date"),"PENDING - check invalid input")</f>
        <v>OK</v>
      </c>
    </row>
    <row r="28" spans="1:6" ht="60" customHeight="1" x14ac:dyDescent="0.25">
      <c r="A28" t="s">
        <v>65</v>
      </c>
      <c r="B28" s="3">
        <v>240</v>
      </c>
      <c r="C28" s="2" t="s">
        <v>41</v>
      </c>
      <c r="D28" s="2" t="s">
        <v>49</v>
      </c>
      <c r="E28" s="5">
        <v>46298</v>
      </c>
      <c r="F28" s="7" t="str">
        <f>IFERROR(IF(AND(ISNUMBER(B28),B28&gt;=0,AND(OR(C28="Documented",C28="Estimate",C28="Scenario",C28="Not applicable"),LEN(TRIM(D28))&gt;=8,ISERROR(MATCH(LOWER(TRIM(D28)),{"unknown","pending","source","example","not known","to be determined","tbd"},0)),ISNUMBER(E28),E28&gt;0),OR(C28&lt;&gt;"Not applicable",B28=0)),"OK","PENDING - value / basis / date"),"PENDING - check invalid input")</f>
        <v>OK</v>
      </c>
    </row>
    <row r="29" spans="1:6" ht="60" customHeight="1" x14ac:dyDescent="0.25">
      <c r="A29" t="s">
        <v>66</v>
      </c>
      <c r="B29" s="3">
        <v>0</v>
      </c>
      <c r="C29" s="2" t="s">
        <v>41</v>
      </c>
      <c r="D29" s="2" t="s">
        <v>49</v>
      </c>
      <c r="E29" s="5">
        <v>46298</v>
      </c>
      <c r="F29" s="7" t="str">
        <f>IFERROR(IF(AND(ISNUMBER(B29),B29&gt;=0,AND(OR(C29="Documented",C29="Estimate",C29="Scenario",C29="Not applicable"),LEN(TRIM(D29))&gt;=8,ISERROR(MATCH(LOWER(TRIM(D29)),{"unknown","pending","source","example","not known","to be determined","tbd"},0)),ISNUMBER(E29),E29&gt;0),OR(C29&lt;&gt;"Not applicable",B29=0)),"OK","PENDING - value / basis / date"),"PENDING - check invalid input")</f>
        <v>OK</v>
      </c>
    </row>
    <row r="30" spans="1:6" ht="60" customHeight="1" x14ac:dyDescent="0.25">
      <c r="A30" t="s">
        <v>67</v>
      </c>
      <c r="B30" s="3">
        <v>0</v>
      </c>
      <c r="C30" s="2" t="s">
        <v>41</v>
      </c>
      <c r="D30" s="2" t="s">
        <v>49</v>
      </c>
      <c r="E30" s="5">
        <v>46298</v>
      </c>
      <c r="F30" s="7" t="str">
        <f>IFERROR(IF(AND(ISNUMBER(B30),B30&gt;=0,AND(OR(C30="Documented",C30="Estimate",C30="Scenario",C30="Not applicable"),LEN(TRIM(D30))&gt;=8,ISERROR(MATCH(LOWER(TRIM(D30)),{"unknown","pending","source","example","not known","to be determined","tbd"},0)),ISNUMBER(E30),E30&gt;0),OR(C30&lt;&gt;"Not applicable",B30=0)),"OK","PENDING - value / basis / date"),"PENDING - check invalid input")</f>
        <v>OK</v>
      </c>
    </row>
    <row r="31" spans="1:6" ht="60" customHeight="1" x14ac:dyDescent="0.25">
      <c r="A31" t="s">
        <v>68</v>
      </c>
      <c r="B31" s="4">
        <v>7.0000000000000007E-2</v>
      </c>
      <c r="C31" s="2" t="s">
        <v>41</v>
      </c>
      <c r="D31" s="2" t="s">
        <v>49</v>
      </c>
      <c r="E31" s="5">
        <v>46298</v>
      </c>
      <c r="F31" s="7" t="str">
        <f>IFERROR(IF(AND(ISNUMBER(B31),AND(B31&gt;=0,B31&lt;=1),AND(OR(C31="Documented",C31="Estimate",C31="Scenario",C31="Not applicable"),LEN(TRIM(D31))&gt;=8,ISERROR(MATCH(LOWER(TRIM(D31)),{"unknown","pending","source","example","not known","to be determined","tbd"},0)),ISNUMBER(E31),E31&gt;0),OR(C31&lt;&gt;"Not applicable",B31=0)),"OK","PENDING - value / basis / date"),"PENDING - check invalid input")</f>
        <v>OK</v>
      </c>
    </row>
    <row r="32" spans="1:6" ht="60" customHeight="1" x14ac:dyDescent="0.25">
      <c r="A32" t="s">
        <v>69</v>
      </c>
      <c r="B32" s="2">
        <v>360</v>
      </c>
      <c r="C32" s="2" t="s">
        <v>41</v>
      </c>
      <c r="D32" s="2" t="s">
        <v>49</v>
      </c>
      <c r="E32" s="5">
        <v>46298</v>
      </c>
      <c r="F32" s="7" t="str">
        <f>IFERROR(IF(AND(ISNUMBER(B32),AND(B32&gt;0,B32&lt;=600,MOD(B32,1)=0),AND(OR(C32="Documented",C32="Estimate",C32="Scenario",C32="Not applicable"),LEN(TRIM(D32))&gt;=8,ISERROR(MATCH(LOWER(TRIM(D32)),{"unknown","pending","source","example","not known","to be determined","tbd"},0)),ISNUMBER(E32),E32&gt;0),OR(C32&lt;&gt;"Not applicable",B32=0)),"OK","PENDING - value / basis / date"),"PENDING - check invalid input")</f>
        <v>OK</v>
      </c>
    </row>
    <row r="33" spans="1:6" ht="60" customHeight="1" x14ac:dyDescent="0.25">
      <c r="A33" t="s">
        <v>70</v>
      </c>
      <c r="B33" s="3">
        <v>0</v>
      </c>
      <c r="C33" s="2" t="s">
        <v>41</v>
      </c>
      <c r="D33" s="2" t="s">
        <v>49</v>
      </c>
      <c r="E33" s="5">
        <v>46298</v>
      </c>
      <c r="F33" s="7" t="str">
        <f>IFERROR(IF(AND(ISNUMBER(B33),B33&gt;=0,AND(OR(C33="Documented",C33="Estimate",C33="Scenario",C33="Not applicable"),LEN(TRIM(D33))&gt;=8,ISERROR(MATCH(LOWER(TRIM(D33)),{"unknown","pending","source","example","not known","to be determined","tbd"},0)),ISNUMBER(E33),E33&gt;0),OR(C33&lt;&gt;"Not applicable",B33=0)),"OK","PENDING - value / basis / date"),"PENDING - check invalid input")</f>
        <v>OK</v>
      </c>
    </row>
    <row r="34" spans="1:6" ht="60" customHeight="1" x14ac:dyDescent="0.25">
      <c r="A34" t="s">
        <v>71</v>
      </c>
      <c r="B34" s="3">
        <v>250</v>
      </c>
      <c r="C34" s="2" t="s">
        <v>41</v>
      </c>
      <c r="D34" s="2" t="s">
        <v>49</v>
      </c>
      <c r="E34" s="5">
        <v>46298</v>
      </c>
      <c r="F34" s="7" t="str">
        <f>IFERROR(IF(AND(ISNUMBER(B34),B34&gt;=0,AND(OR(C34="Documented",C34="Estimate",C34="Scenario",C34="Not applicable"),LEN(TRIM(D34))&gt;=8,ISERROR(MATCH(LOWER(TRIM(D34)),{"unknown","pending","source","example","not known","to be determined","tbd"},0)),ISNUMBER(E34),E34&gt;0),OR(C34&lt;&gt;"Not applicable",B34=0)),"OK","PENDING - value / basis / date"),"PENDING - check invalid input")</f>
        <v>OK</v>
      </c>
    </row>
    <row r="35" spans="1:6" ht="60" customHeight="1" x14ac:dyDescent="0.25">
      <c r="A35" t="s">
        <v>72</v>
      </c>
      <c r="B35" s="3">
        <v>450</v>
      </c>
      <c r="C35" s="2" t="s">
        <v>41</v>
      </c>
      <c r="D35" s="2" t="s">
        <v>49</v>
      </c>
      <c r="E35" s="5">
        <v>46298</v>
      </c>
      <c r="F35" s="7" t="str">
        <f>IFERROR(IF(AND(ISNUMBER(B35),B35&gt;=0,AND(OR(C35="Documented",C35="Estimate",C35="Scenario",C35="Not applicable"),LEN(TRIM(D35))&gt;=8,ISERROR(MATCH(LOWER(TRIM(D35)),{"unknown","pending","source","example","not known","to be determined","tbd"},0)),ISNUMBER(E35),E35&gt;0),OR(C35&lt;&gt;"Not applicable",B35=0)),"OK","PENDING - value / basis / date"),"PENDING - check invalid input")</f>
        <v>OK</v>
      </c>
    </row>
    <row r="36" spans="1:6" ht="60" customHeight="1" x14ac:dyDescent="0.25">
      <c r="A36" t="s">
        <v>73</v>
      </c>
      <c r="B36" s="3">
        <v>1697.4421784609669</v>
      </c>
      <c r="C36" s="2" t="s">
        <v>41</v>
      </c>
      <c r="D36" s="2" t="s">
        <v>49</v>
      </c>
      <c r="E36" s="5">
        <v>46298</v>
      </c>
      <c r="F36" s="7" t="str">
        <f>IFERROR(IF(AND(ISNUMBER(B36),B36&gt;=0,AND(OR(C36="Documented",C36="Estimate",C36="Scenario",C36="Not applicable"),LEN(TRIM(D36))&gt;=8,ISERROR(MATCH(LOWER(TRIM(D36)),{"unknown","pending","source","example","not known","to be determined","tbd"},0)),ISNUMBER(E36),E36&gt;0),OR(C36&lt;&gt;"Not applicable",B36=0)),"OK","PENDING - value / basis / date"),"PENDING - check invalid input")</f>
        <v>OK</v>
      </c>
    </row>
    <row r="37" spans="1:6" ht="60" customHeight="1" x14ac:dyDescent="0.25">
      <c r="A37" t="s">
        <v>74</v>
      </c>
      <c r="B37" s="3">
        <v>90000</v>
      </c>
      <c r="C37" s="2" t="s">
        <v>41</v>
      </c>
      <c r="D37" s="2" t="s">
        <v>49</v>
      </c>
      <c r="E37" s="5">
        <v>46298</v>
      </c>
      <c r="F37" s="7" t="str">
        <f>IFERROR(IF(AND(ISNUMBER(B37),B37&gt;=0,AND(OR(C37="Documented",C37="Estimate",C37="Scenario",C37="Not applicable"),LEN(TRIM(D37))&gt;=8,ISERROR(MATCH(LOWER(TRIM(D37)),{"unknown","pending","source","example","not known","to be determined","tbd"},0)),ISNUMBER(E37),E37&gt;0),OR(C37&lt;&gt;"Not applicable",B37=0)),"OK","PENDING - value / basis / date"),"PENDING - check invalid input")</f>
        <v>OK</v>
      </c>
    </row>
    <row r="39" spans="1:6" ht="90" customHeight="1" x14ac:dyDescent="0.25">
      <c r="A39" s="10" t="s">
        <v>108</v>
      </c>
      <c r="B39" s="10"/>
      <c r="C39" s="10"/>
      <c r="D39" s="10"/>
      <c r="E39" s="10"/>
      <c r="F39" s="10"/>
    </row>
    <row r="40" spans="1:6" ht="27.95" customHeight="1" x14ac:dyDescent="0.25">
      <c r="A40" t="s">
        <v>75</v>
      </c>
      <c r="B40" s="2">
        <v>1</v>
      </c>
    </row>
    <row r="41" spans="1:6" ht="27.95" customHeight="1" x14ac:dyDescent="0.25">
      <c r="A41" t="s">
        <v>76</v>
      </c>
      <c r="B41" s="2" t="s">
        <v>77</v>
      </c>
    </row>
  </sheetData>
  <sheetProtection sheet="1" objects="1" scenarios="1" formatRows="0"/>
  <mergeCells count="3">
    <mergeCell ref="A1:F1"/>
    <mergeCell ref="A2:F2"/>
    <mergeCell ref="A39:F39"/>
  </mergeCells>
  <dataValidations count="4">
    <dataValidation type="list" allowBlank="1" showErrorMessage="1" errorTitle="Choose a listed value" error="Use the dropdown options." sqref="B8" xr:uid="{00000000-0002-0000-0100-000000000000}">
      <formula1>"Stabilized,First year"</formula1>
    </dataValidation>
    <dataValidation type="list" allowBlank="1" showErrorMessage="1" errorTitle="Choose a listed value" error="Use the dropdown options." sqref="B9" xr:uid="{00000000-0002-0000-0100-000001000000}">
      <formula1>"Fixed loan,Cash,Out of scope"</formula1>
    </dataValidation>
    <dataValidation type="list" allowBlank="1" showErrorMessage="1" errorTitle="Choose a listed value" error="Use the dropdown options." sqref="B10" xr:uid="{00000000-0002-0000-0100-000002000000}">
      <formula1>"Current,Proposed,Scenario"</formula1>
    </dataValidation>
    <dataValidation type="list" allowBlank="1" showErrorMessage="1" errorTitle="Choose a listed value" error="Use the dropdown options." sqref="C12:C37" xr:uid="{00000000-0002-0000-0100-000003000000}">
      <formula1>"Documented,Estimate,Scenario,Unknown,Not applicable"</formula1>
    </dataValidation>
  </dataValidations>
  <pageMargins left="0.3888888888888889" right="0.3888888888888889" top="0.41666666666666669" bottom="0.41666666666666669" header="0.2" footer="0.2"/>
  <pageSetup scale="76" fitToHeight="0" orientation="landscape" r:id="rId1"/>
  <headerFooter>
    <oddFooter>&amp;LBefore You Buy the Rental&amp;R&amp;P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8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47" customWidth="1"/>
    <col min="2" max="2" width="35" customWidth="1"/>
  </cols>
  <sheetData>
    <row r="1" spans="1:2" ht="42" customHeight="1" x14ac:dyDescent="0.25">
      <c r="A1" s="9" t="s">
        <v>78</v>
      </c>
      <c r="B1" s="10"/>
    </row>
    <row r="2" spans="1:2" ht="39.950000000000003" customHeight="1" x14ac:dyDescent="0.25">
      <c r="A2" s="10" t="s">
        <v>1</v>
      </c>
      <c r="B2" s="10"/>
    </row>
    <row r="3" spans="1:2" ht="57.95" customHeight="1" x14ac:dyDescent="0.25">
      <c r="A3" s="10" t="s">
        <v>79</v>
      </c>
      <c r="B3" s="10"/>
    </row>
    <row r="5" spans="1:2" ht="30" customHeight="1" x14ac:dyDescent="0.25">
      <c r="A5" s="11" t="s">
        <v>80</v>
      </c>
      <c r="B5" s="10"/>
    </row>
    <row r="6" spans="1:2" ht="30" customHeight="1" x14ac:dyDescent="0.25">
      <c r="A6" t="s">
        <v>81</v>
      </c>
      <c r="B6" s="2" t="s">
        <v>82</v>
      </c>
    </row>
    <row r="7" spans="1:2" ht="30" customHeight="1" x14ac:dyDescent="0.25">
      <c r="A7" t="s">
        <v>83</v>
      </c>
      <c r="B7" s="3">
        <v>2250</v>
      </c>
    </row>
    <row r="8" spans="1:2" ht="30" customHeight="1" x14ac:dyDescent="0.25">
      <c r="A8" t="s">
        <v>44</v>
      </c>
      <c r="B8" s="2" t="s">
        <v>41</v>
      </c>
    </row>
    <row r="9" spans="1:2" ht="44.1" customHeight="1" x14ac:dyDescent="0.25">
      <c r="A9" t="s">
        <v>84</v>
      </c>
      <c r="B9" s="2" t="s">
        <v>85</v>
      </c>
    </row>
    <row r="10" spans="1:2" ht="30" customHeight="1" x14ac:dyDescent="0.25">
      <c r="A10" t="s">
        <v>86</v>
      </c>
      <c r="B10" s="5">
        <v>46298</v>
      </c>
    </row>
    <row r="11" spans="1:2" ht="39.950000000000003" customHeight="1" x14ac:dyDescent="0.25">
      <c r="A11" t="s">
        <v>87</v>
      </c>
      <c r="B11" s="6">
        <f>IF(B6="Inactive","INACTIVE",IFERROR(IF(AND(B6="Active",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year"),OR(Inputs!B10="Current",Inputs!B10="Proposed",Inputs!B10="Scenario")),AND(ISNUMBER(B7),B7&gt;=0,AND(OR(B8="Documented",B8="Estimate",B8="Scenario",B8="Not applicable"),LEN(TRIM(B9))&gt;=8,ISERROR(MATCH(LOWER(TRIM(B9)),{"unknown","pending","source","example","not known","to be determined","tbd"},0)),ISNUMBER(B10),B10&gt;0)),AND(Inputs!F19="OK",Inputs!F20="OK",Inputs!F21="OK",Inputs!F22="OK",Inputs!F23="OK",Inputs!F24="OK",Inputs!F25="OK",Inputs!F26="OK",Inputs!F27="OK",Inputs!F28="OK",Inputs!F29="OK",Inputs!F30="OK"),ISNUMBER(Overview!B19),ISNUMBER(Overview!B20),ISNUMBER(Overview!B22)),B7*Inputs!B19*(1-Inputs!B20)*(1-Inputs!B21)+Inputs!B30-(Inputs!B22+SUM(Inputs!B24:B29)+Inputs!B23)-Overview!B19-Overview!B20-Overview!B22,"PENDING - scenario / unchanged inputs"),"PENDING - check invalid input"))</f>
        <v>-4116.5061415316231</v>
      </c>
    </row>
    <row r="15" spans="1:2" ht="30" customHeight="1" x14ac:dyDescent="0.25">
      <c r="A15" s="11" t="s">
        <v>88</v>
      </c>
      <c r="B15" s="10"/>
    </row>
    <row r="16" spans="1:2" ht="30" customHeight="1" x14ac:dyDescent="0.25">
      <c r="A16" t="s">
        <v>81</v>
      </c>
      <c r="B16" s="2" t="s">
        <v>82</v>
      </c>
    </row>
    <row r="17" spans="1:2" ht="30" customHeight="1" x14ac:dyDescent="0.25">
      <c r="A17" t="s">
        <v>89</v>
      </c>
      <c r="B17" s="4">
        <v>0.12</v>
      </c>
    </row>
    <row r="18" spans="1:2" ht="30" customHeight="1" x14ac:dyDescent="0.25">
      <c r="A18" t="s">
        <v>44</v>
      </c>
      <c r="B18" s="2" t="s">
        <v>41</v>
      </c>
    </row>
    <row r="19" spans="1:2" ht="44.1" customHeight="1" x14ac:dyDescent="0.25">
      <c r="A19" t="s">
        <v>84</v>
      </c>
      <c r="B19" s="2" t="s">
        <v>85</v>
      </c>
    </row>
    <row r="20" spans="1:2" ht="30" customHeight="1" x14ac:dyDescent="0.25">
      <c r="A20" t="s">
        <v>86</v>
      </c>
      <c r="B20" s="5">
        <v>46298</v>
      </c>
    </row>
    <row r="21" spans="1:2" ht="39.950000000000003" customHeight="1" x14ac:dyDescent="0.25">
      <c r="A21" t="s">
        <v>87</v>
      </c>
      <c r="B21" s="6">
        <f>IF(B16="Inactive","INACTIVE",IFERROR(IF(AND(B16="Active",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year"),OR(Inputs!B10="Current",Inputs!B10="Proposed",Inputs!B10="Scenario")),AND(ISNUMBER(B17),B17&gt;=0,B17&lt;=1,AND(OR(B18="Documented",B18="Estimate",B18="Scenario",B18="Not applicable"),LEN(TRIM(B19))&gt;=8,ISERROR(MATCH(LOWER(TRIM(B19)),{"unknown","pending","source","example","not known","to be determined","tbd"},0)),ISNUMBER(B20),B20&gt;0)),AND(Inputs!F18="OK",Inputs!F19="OK",Inputs!F21="OK",Inputs!F22="OK",Inputs!F23="OK",Inputs!F24="OK",Inputs!F25="OK",Inputs!F26="OK",Inputs!F27="OK",Inputs!F28="OK",Inputs!F29="OK",Inputs!F30="OK"),ISNUMBER(Overview!B19),ISNUMBER(Overview!B20),ISNUMBER(Overview!B22)),Inputs!B18*Inputs!B19*(1-B17)*(1-Inputs!B21)+Inputs!B30-(Inputs!B22+SUM(Inputs!B24:B29)+Inputs!B23)-Overview!B19-Overview!B20-Overview!B22,"PENDING - scenario / unchanged inputs"),"PENDING - check invalid input"))</f>
        <v>-3652.8261415316229</v>
      </c>
    </row>
    <row r="25" spans="1:2" ht="30" customHeight="1" x14ac:dyDescent="0.25">
      <c r="A25" s="11" t="s">
        <v>90</v>
      </c>
      <c r="B25" s="10"/>
    </row>
    <row r="26" spans="1:2" ht="30" customHeight="1" x14ac:dyDescent="0.25">
      <c r="A26" t="s">
        <v>81</v>
      </c>
      <c r="B26" s="2" t="s">
        <v>82</v>
      </c>
    </row>
    <row r="27" spans="1:2" ht="30" customHeight="1" x14ac:dyDescent="0.25">
      <c r="A27" t="s">
        <v>91</v>
      </c>
      <c r="B27" s="3">
        <v>2400</v>
      </c>
    </row>
    <row r="28" spans="1:2" ht="30" customHeight="1" x14ac:dyDescent="0.25">
      <c r="A28" t="s">
        <v>44</v>
      </c>
      <c r="B28" s="2" t="s">
        <v>41</v>
      </c>
    </row>
    <row r="29" spans="1:2" ht="44.1" customHeight="1" x14ac:dyDescent="0.25">
      <c r="A29" t="s">
        <v>84</v>
      </c>
      <c r="B29" s="2" t="s">
        <v>85</v>
      </c>
    </row>
    <row r="30" spans="1:2" ht="30" customHeight="1" x14ac:dyDescent="0.25">
      <c r="A30" t="s">
        <v>86</v>
      </c>
      <c r="B30" s="5">
        <v>46298</v>
      </c>
    </row>
    <row r="31" spans="1:2" ht="39.950000000000003" customHeight="1" x14ac:dyDescent="0.25">
      <c r="A31" t="s">
        <v>87</v>
      </c>
      <c r="B31" s="6">
        <f>IF(B26="Inactive","INACTIVE",IFERROR(IF(AND(B26="Active",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year"),OR(Inputs!B10="Current",Inputs!B10="Proposed",Inputs!B10="Scenario")),AND(ISNUMBER(B27),B27&gt;=0,AND(OR(B28="Documented",B28="Estimate",B28="Scenario",B28="Not applicable"),LEN(TRIM(B29))&gt;=8,ISERROR(MATCH(LOWER(TRIM(B29)),{"unknown","pending","source","example","not known","to be determined","tbd"},0)),ISNUMBER(B30),B30&gt;0)),AND(Inputs!F18="OK",Inputs!F19="OK",Inputs!F20="OK",Inputs!F21="OK",Inputs!F22="OK",Inputs!F24="OK",Inputs!F25="OK",Inputs!F26="OK",Inputs!F27="OK",Inputs!F28="OK",Inputs!F29="OK",Inputs!F30="OK"),ISNUMBER(Overview!B19),ISNUMBER(Overview!B20),ISNUMBER(Overview!B22)),Inputs!B18*Inputs!B19*(1-Inputs!B20)*(1-Inputs!B21)+Inputs!B30-(Inputs!B22+SUM(Inputs!B24:B29)+B27)-Overview!B19-Overview!B20-Overview!B22,"PENDING - scenario / unchanged inputs"),"PENDING - check invalid input"))</f>
        <v>-3192.9861415316227</v>
      </c>
    </row>
    <row r="35" spans="1:2" ht="32.1" customHeight="1" x14ac:dyDescent="0.25">
      <c r="A35" s="11" t="s">
        <v>92</v>
      </c>
      <c r="B35" s="10"/>
    </row>
    <row r="36" spans="1:2" ht="27.95" customHeight="1" x14ac:dyDescent="0.25">
      <c r="A36" t="s">
        <v>87</v>
      </c>
      <c r="B36" s="6">
        <f>IFERROR(IF(AND(ISNUMBER(B11),ISNUMBER(B21),Inputs!F23="OK"),B11+B21-Overview!B23+(B7-Inputs!B18)*Inputs!B19*(Inputs!B20-B17)*(1-Inputs!B21),"PENDING - activate both rent and loss"),"PENDING - check invalid input")</f>
        <v>-5110.1061415316235</v>
      </c>
    </row>
    <row r="38" spans="1:2" ht="75" customHeight="1" x14ac:dyDescent="0.25">
      <c r="A38" s="10" t="s">
        <v>93</v>
      </c>
      <c r="B38" s="10"/>
    </row>
  </sheetData>
  <sheetProtection sheet="1" objects="1" scenarios="1"/>
  <mergeCells count="8">
    <mergeCell ref="A25:B25"/>
    <mergeCell ref="A35:B35"/>
    <mergeCell ref="A38:B38"/>
    <mergeCell ref="A1:B1"/>
    <mergeCell ref="A2:B2"/>
    <mergeCell ref="A3:B3"/>
    <mergeCell ref="A5:B5"/>
    <mergeCell ref="A15:B15"/>
  </mergeCells>
  <dataValidations count="2">
    <dataValidation type="list" allowBlank="1" showErrorMessage="1" errorTitle="Choose a listed value" error="Use the dropdown options." sqref="B6 B26 B16" xr:uid="{00000000-0002-0000-0200-000000000000}">
      <formula1>"Active,Inactive"</formula1>
    </dataValidation>
    <dataValidation type="list" allowBlank="1" showErrorMessage="1" errorTitle="Choose a listed value" error="Use the dropdown options." sqref="B8 B28 B18" xr:uid="{00000000-0002-0000-0200-000001000000}">
      <formula1>"Documented,Estimate,Scenario,Unknown,Not applicable"</formula1>
    </dataValidation>
  </dataValidation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0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48" customWidth="1"/>
    <col min="2" max="2" width="30" customWidth="1"/>
  </cols>
  <sheetData>
    <row r="1" spans="1:2" ht="42" customHeight="1" x14ac:dyDescent="0.25">
      <c r="A1" s="9" t="s">
        <v>94</v>
      </c>
      <c r="B1" s="10"/>
    </row>
    <row r="2" spans="1:2" ht="39.950000000000003" customHeight="1" x14ac:dyDescent="0.25">
      <c r="A2" s="10" t="s">
        <v>1</v>
      </c>
      <c r="B2" s="10"/>
    </row>
    <row r="3" spans="1:2" ht="48" customHeight="1" x14ac:dyDescent="0.25">
      <c r="A3" s="10" t="s">
        <v>95</v>
      </c>
      <c r="B3" s="10"/>
    </row>
    <row r="5" spans="1:2" ht="33.950000000000003" customHeight="1" x14ac:dyDescent="0.25">
      <c r="A5" t="s">
        <v>48</v>
      </c>
      <c r="B5" s="6">
        <f>IF(Inputs!F12="OK",Inputs!B12,"UNKNOWN / PENDING")</f>
        <v>250000</v>
      </c>
    </row>
    <row r="6" spans="1:2" ht="33.950000000000003" customHeight="1" x14ac:dyDescent="0.25">
      <c r="A6" t="s">
        <v>50</v>
      </c>
      <c r="B6" s="8">
        <f>IF(Inputs!F13="OK",Inputs!B13,"UNKNOWN / PENDING")</f>
        <v>0.25</v>
      </c>
    </row>
    <row r="7" spans="1:2" ht="33.950000000000003" customHeight="1" x14ac:dyDescent="0.25">
      <c r="A7" t="s">
        <v>51</v>
      </c>
      <c r="B7" s="6">
        <f>IF(Inputs!F14="OK",Inputs!B14,"UNKNOWN / PENDING")</f>
        <v>6000</v>
      </c>
    </row>
    <row r="8" spans="1:2" ht="33.950000000000003" customHeight="1" x14ac:dyDescent="0.25">
      <c r="A8" t="s">
        <v>52</v>
      </c>
      <c r="B8" s="6">
        <f>IF(Inputs!F15="OK",Inputs!B15,"UNKNOWN / PENDING")</f>
        <v>10000</v>
      </c>
    </row>
    <row r="9" spans="1:2" ht="33.950000000000003" customHeight="1" x14ac:dyDescent="0.25">
      <c r="A9" t="s">
        <v>53</v>
      </c>
      <c r="B9" s="6">
        <f>IF(Inputs!F16="OK",Inputs!B16,"UNKNOWN / PENDING")</f>
        <v>7500</v>
      </c>
    </row>
    <row r="10" spans="1:2" ht="33.950000000000003" customHeight="1" x14ac:dyDescent="0.25">
      <c r="A10" t="s">
        <v>54</v>
      </c>
      <c r="B10" s="6">
        <f>IF(Inputs!F17="OK",Inputs!B17,"UNKNOWN / PENDING")</f>
        <v>0</v>
      </c>
    </row>
    <row r="11" spans="1:2" ht="33.950000000000003" customHeight="1" x14ac:dyDescent="0.25">
      <c r="A11" t="s">
        <v>55</v>
      </c>
      <c r="B11" s="6">
        <f>IF(Inputs!F18="OK",Inputs!B18,"UNKNOWN / PENDING")</f>
        <v>2400</v>
      </c>
    </row>
    <row r="12" spans="1:2" ht="33.950000000000003" customHeight="1" x14ac:dyDescent="0.25">
      <c r="A12" t="s">
        <v>56</v>
      </c>
      <c r="B12" s="7">
        <f>IF(Inputs!F19="OK",Inputs!B19,"UNKNOWN / PENDING")</f>
        <v>12</v>
      </c>
    </row>
    <row r="13" spans="1:2" ht="33.950000000000003" customHeight="1" x14ac:dyDescent="0.25">
      <c r="A13" t="s">
        <v>57</v>
      </c>
      <c r="B13" s="8">
        <f>IF(Inputs!F20="OK",Inputs!B20,"UNKNOWN / PENDING")</f>
        <v>0.08</v>
      </c>
    </row>
    <row r="14" spans="1:2" ht="33.950000000000003" customHeight="1" x14ac:dyDescent="0.25">
      <c r="A14" t="s">
        <v>58</v>
      </c>
      <c r="B14" s="8">
        <f>IF(Inputs!F21="OK",Inputs!B21,"UNKNOWN / PENDING")</f>
        <v>0.08</v>
      </c>
    </row>
    <row r="15" spans="1:2" ht="33.950000000000003" customHeight="1" x14ac:dyDescent="0.25">
      <c r="A15" t="s">
        <v>59</v>
      </c>
      <c r="B15" s="6">
        <f>IF(Inputs!F22="OK",Inputs!B22,"UNKNOWN / PENDING")</f>
        <v>3600</v>
      </c>
    </row>
    <row r="16" spans="1:2" ht="33.950000000000003" customHeight="1" x14ac:dyDescent="0.25">
      <c r="A16" t="s">
        <v>60</v>
      </c>
      <c r="B16" s="6">
        <f>IF(Inputs!F23="OK",Inputs!B23,"UNKNOWN / PENDING")</f>
        <v>1800</v>
      </c>
    </row>
    <row r="17" spans="1:2" ht="33.950000000000003" customHeight="1" x14ac:dyDescent="0.25">
      <c r="A17" t="s">
        <v>61</v>
      </c>
      <c r="B17" s="6">
        <f>IF(Inputs!F24="OK",Inputs!B24,"UNKNOWN / PENDING")</f>
        <v>600</v>
      </c>
    </row>
    <row r="18" spans="1:2" ht="33.950000000000003" customHeight="1" x14ac:dyDescent="0.25">
      <c r="A18" t="s">
        <v>62</v>
      </c>
      <c r="B18" s="6">
        <f>IF(Inputs!F25="OK",Inputs!B25,"UNKNOWN / PENDING")</f>
        <v>720</v>
      </c>
    </row>
    <row r="19" spans="1:2" ht="33.950000000000003" customHeight="1" x14ac:dyDescent="0.25">
      <c r="A19" t="s">
        <v>63</v>
      </c>
      <c r="B19" s="6">
        <f>IF(Inputs!F26="OK",Inputs!B26,"UNKNOWN / PENDING")</f>
        <v>1440</v>
      </c>
    </row>
    <row r="20" spans="1:2" ht="33.950000000000003" customHeight="1" x14ac:dyDescent="0.25">
      <c r="A20" t="s">
        <v>64</v>
      </c>
      <c r="B20" s="6">
        <f>IF(Inputs!F27="OK",Inputs!B27,"UNKNOWN / PENDING")</f>
        <v>600</v>
      </c>
    </row>
    <row r="21" spans="1:2" ht="33.950000000000003" customHeight="1" x14ac:dyDescent="0.25">
      <c r="A21" t="s">
        <v>65</v>
      </c>
      <c r="B21" s="6">
        <f>IF(Inputs!F28="OK",Inputs!B28,"UNKNOWN / PENDING")</f>
        <v>240</v>
      </c>
    </row>
    <row r="22" spans="1:2" ht="33.950000000000003" customHeight="1" x14ac:dyDescent="0.25">
      <c r="A22" t="s">
        <v>66</v>
      </c>
      <c r="B22" s="6">
        <f>IF(Inputs!F29="OK",Inputs!B29,"UNKNOWN / PENDING")</f>
        <v>0</v>
      </c>
    </row>
    <row r="23" spans="1:2" ht="33.950000000000003" customHeight="1" x14ac:dyDescent="0.25">
      <c r="A23" t="s">
        <v>67</v>
      </c>
      <c r="B23" s="6">
        <f>IF(Inputs!F30="OK",Inputs!B30,"UNKNOWN / PENDING")</f>
        <v>0</v>
      </c>
    </row>
    <row r="24" spans="1:2" ht="33.950000000000003" customHeight="1" x14ac:dyDescent="0.25">
      <c r="A24" t="s">
        <v>68</v>
      </c>
      <c r="B24" s="8">
        <f>IF(Inputs!F31="OK",Inputs!B31,"UNKNOWN / PENDING")</f>
        <v>7.0000000000000007E-2</v>
      </c>
    </row>
    <row r="25" spans="1:2" ht="33.950000000000003" customHeight="1" x14ac:dyDescent="0.25">
      <c r="A25" t="s">
        <v>69</v>
      </c>
      <c r="B25" s="7">
        <f>IF(Inputs!F32="OK",Inputs!B32,"UNKNOWN / PENDING")</f>
        <v>360</v>
      </c>
    </row>
    <row r="26" spans="1:2" ht="33.950000000000003" customHeight="1" x14ac:dyDescent="0.25">
      <c r="A26" t="s">
        <v>70</v>
      </c>
      <c r="B26" s="6">
        <f>IF(Inputs!F33="OK",Inputs!B33,"UNKNOWN / PENDING")</f>
        <v>0</v>
      </c>
    </row>
    <row r="27" spans="1:2" ht="33.950000000000003" customHeight="1" x14ac:dyDescent="0.25">
      <c r="A27" t="s">
        <v>71</v>
      </c>
      <c r="B27" s="6">
        <f>IF(Inputs!F34="OK",Inputs!B34,"UNKNOWN / PENDING")</f>
        <v>250</v>
      </c>
    </row>
    <row r="28" spans="1:2" ht="33.950000000000003" customHeight="1" x14ac:dyDescent="0.25">
      <c r="A28" t="s">
        <v>72</v>
      </c>
      <c r="B28" s="6">
        <f>IF(Inputs!F35="OK",Inputs!B35,"UNKNOWN / PENDING")</f>
        <v>450</v>
      </c>
    </row>
    <row r="29" spans="1:2" ht="33.950000000000003" customHeight="1" x14ac:dyDescent="0.25">
      <c r="A29" t="s">
        <v>73</v>
      </c>
      <c r="B29" s="6">
        <f>IF(Inputs!F36="OK",Inputs!B36,"UNKNOWN / PENDING")</f>
        <v>1697.4421784609669</v>
      </c>
    </row>
    <row r="30" spans="1:2" ht="33.950000000000003" customHeight="1" x14ac:dyDescent="0.25">
      <c r="A30" t="s">
        <v>74</v>
      </c>
      <c r="B30" s="6">
        <f>IF(Inputs!F37="OK",Inputs!B37,"UNKNOWN / PENDING")</f>
        <v>90000</v>
      </c>
    </row>
  </sheetData>
  <sheetProtection sheet="1" objects="1" scenarios="1"/>
  <mergeCells count="3">
    <mergeCell ref="A1:B1"/>
    <mergeCell ref="A2:B2"/>
    <mergeCell ref="A3:B3"/>
  </mergeCell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5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2" width="39" customWidth="1"/>
  </cols>
  <sheetData>
    <row r="1" spans="1:2" ht="42" customHeight="1" x14ac:dyDescent="0.25">
      <c r="A1" s="9" t="s">
        <v>0</v>
      </c>
      <c r="B1" s="10"/>
    </row>
    <row r="2" spans="1:2" ht="39.950000000000003" customHeight="1" x14ac:dyDescent="0.25">
      <c r="A2" s="10" t="s">
        <v>1</v>
      </c>
      <c r="B2" s="10"/>
    </row>
    <row r="4" spans="1:2" ht="27.95" customHeight="1" x14ac:dyDescent="0.25">
      <c r="A4" s="11" t="s">
        <v>96</v>
      </c>
      <c r="B4" s="10"/>
    </row>
    <row r="5" spans="1:2" ht="102" customHeight="1" x14ac:dyDescent="0.25">
      <c r="A5" s="10" t="s">
        <v>97</v>
      </c>
      <c r="B5" s="10"/>
    </row>
    <row r="6" spans="1:2" ht="27.95" customHeight="1" x14ac:dyDescent="0.25">
      <c r="A6" s="11" t="s">
        <v>98</v>
      </c>
      <c r="B6" s="10"/>
    </row>
    <row r="7" spans="1:2" ht="102" customHeight="1" x14ac:dyDescent="0.25">
      <c r="A7" s="10" t="s">
        <v>99</v>
      </c>
      <c r="B7" s="10"/>
    </row>
    <row r="8" spans="1:2" ht="27.95" customHeight="1" x14ac:dyDescent="0.25">
      <c r="A8" s="11" t="s">
        <v>100</v>
      </c>
      <c r="B8" s="10"/>
    </row>
    <row r="9" spans="1:2" ht="102" customHeight="1" x14ac:dyDescent="0.25">
      <c r="A9" s="10" t="s">
        <v>101</v>
      </c>
      <c r="B9" s="10"/>
    </row>
    <row r="10" spans="1:2" ht="27.95" customHeight="1" x14ac:dyDescent="0.25">
      <c r="A10" s="11" t="s">
        <v>102</v>
      </c>
      <c r="B10" s="10"/>
    </row>
    <row r="11" spans="1:2" ht="102" customHeight="1" x14ac:dyDescent="0.25">
      <c r="A11" s="10" t="s">
        <v>103</v>
      </c>
      <c r="B11" s="10"/>
    </row>
    <row r="12" spans="1:2" ht="27.95" customHeight="1" x14ac:dyDescent="0.25">
      <c r="A12" s="11" t="s">
        <v>104</v>
      </c>
      <c r="B12" s="10"/>
    </row>
    <row r="13" spans="1:2" ht="102" customHeight="1" x14ac:dyDescent="0.25">
      <c r="A13" s="10" t="s">
        <v>105</v>
      </c>
      <c r="B13" s="10"/>
    </row>
    <row r="14" spans="1:2" ht="27.95" customHeight="1" x14ac:dyDescent="0.25">
      <c r="A14" s="11" t="s">
        <v>106</v>
      </c>
      <c r="B14" s="10"/>
    </row>
    <row r="15" spans="1:2" ht="102" customHeight="1" x14ac:dyDescent="0.25">
      <c r="A15" s="10" t="s">
        <v>107</v>
      </c>
      <c r="B15" s="10"/>
    </row>
  </sheetData>
  <sheetProtection sheet="1" objects="1" scenarios="1"/>
  <mergeCells count="14">
    <mergeCell ref="A1:B1"/>
    <mergeCell ref="A2:B2"/>
    <mergeCell ref="A4:B4"/>
    <mergeCell ref="A5:B5"/>
    <mergeCell ref="A6:B6"/>
    <mergeCell ref="A12:B12"/>
    <mergeCell ref="A13:B13"/>
    <mergeCell ref="A14:B14"/>
    <mergeCell ref="A15:B15"/>
    <mergeCell ref="A7:B7"/>
    <mergeCell ref="A8:B8"/>
    <mergeCell ref="A9:B9"/>
    <mergeCell ref="A10:B10"/>
    <mergeCell ref="A11:B11"/>
  </mergeCell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  <rowBreaks count="1" manualBreakCount="1">
    <brk id="9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Overview</vt:lpstr>
      <vt:lpstr>Inputs</vt:lpstr>
      <vt:lpstr>Scenarios</vt:lpstr>
      <vt:lpstr>Paper inputs</vt:lpstr>
      <vt:lpstr>Guide</vt:lpstr>
      <vt:lpstr>Guide!Print_Area</vt:lpstr>
      <vt:lpstr>Inputs!Print_Area</vt:lpstr>
      <vt:lpstr>Overview!Print_Area</vt:lpstr>
      <vt:lpstr>'Paper inputs'!Print_Area</vt:lpstr>
      <vt:lpstr>Scenarios!Print_Area</vt:lpstr>
      <vt:lpstr>Guide!Print_Titles</vt:lpstr>
      <vt:lpstr>Inputs!Print_Titles</vt:lpstr>
      <vt:lpstr>Overview!Print_Titles</vt:lpstr>
      <vt:lpstr>'Paper inputs'!Print_Titles</vt:lpstr>
      <vt:lpstr>Scenarios!Print_Titles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2026-10-04T02:38:55Z</dcterms:modified>
</cp:coreProperties>
</file>