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BusinessOps\InteractiveContentStudio\reviews\memoir-paycheck-resources-20261005\reviewed-v1.1\Paycheck\P2_Two_Payday_Cash_Planner\"/>
    </mc:Choice>
  </mc:AlternateContent>
  <xr:revisionPtr revIDLastSave="0" documentId="13_ncr:1_{46E1ED7F-0491-4A39-AA69-C7A00F4B2AB9}" xr6:coauthVersionLast="47" xr6:coauthVersionMax="47" xr10:uidLastSave="{00000000-0000-0000-0000-000000000000}"/>
  <bookViews>
    <workbookView xWindow="-120" yWindow="-120" windowWidth="29040" windowHeight="15840" xr2:uid="{00000000-000D-0000-FFFF-FFFF00000000}"/>
  </bookViews>
  <sheets>
    <sheet name="Read me" sheetId="1" r:id="rId1"/>
    <sheet name="Setup" sheetId="2" r:id="rId2"/>
    <sheet name="Events" sheetId="3" r:id="rId3"/>
    <sheet name="Calendar" sheetId="4" r:id="rId4"/>
    <sheet name="Cash now" sheetId="5" r:id="rId5"/>
    <sheet name="Decisio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9" i="3" l="1"/>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D30" i="2"/>
  <c r="A37" i="4" s="1"/>
  <c r="E37" i="4" s="1"/>
  <c r="D29" i="5"/>
  <c r="E34" i="5" s="1"/>
  <c r="G37" i="4" l="1"/>
  <c r="D37" i="4"/>
  <c r="C37" i="4"/>
  <c r="A54" i="4"/>
  <c r="A17" i="4"/>
  <c r="A20" i="4"/>
  <c r="A43" i="4"/>
  <c r="B43" i="4" s="1"/>
  <c r="A57" i="4"/>
  <c r="B54" i="4"/>
  <c r="F54" i="4"/>
  <c r="E54" i="4"/>
  <c r="A66" i="4"/>
  <c r="A9" i="4"/>
  <c r="E17" i="4"/>
  <c r="A29" i="4"/>
  <c r="E57" i="4"/>
  <c r="A69" i="4"/>
  <c r="A23" i="4"/>
  <c r="A12" i="4"/>
  <c r="A32" i="4"/>
  <c r="F37" i="4"/>
  <c r="A52" i="4"/>
  <c r="B17" i="4"/>
  <c r="B37" i="4"/>
  <c r="A49" i="4"/>
  <c r="A15" i="4"/>
  <c r="F20" i="4"/>
  <c r="A35" i="4"/>
  <c r="A55" i="4"/>
  <c r="B20" i="4"/>
  <c r="A18" i="4"/>
  <c r="A38" i="4"/>
  <c r="F43" i="4"/>
  <c r="A58" i="4"/>
  <c r="A26" i="4"/>
  <c r="A46" i="4"/>
  <c r="A21" i="4"/>
  <c r="A41" i="4"/>
  <c r="A61" i="4"/>
  <c r="A40" i="4"/>
  <c r="A24" i="4"/>
  <c r="A44" i="4"/>
  <c r="A64" i="4"/>
  <c r="A27" i="4"/>
  <c r="A47" i="4"/>
  <c r="A67" i="4"/>
  <c r="A60" i="4"/>
  <c r="A63" i="4"/>
  <c r="A10" i="4"/>
  <c r="A30" i="4"/>
  <c r="A50" i="4"/>
  <c r="A13" i="4"/>
  <c r="A33" i="4"/>
  <c r="A53" i="4"/>
  <c r="E31" i="5"/>
  <c r="A16" i="4"/>
  <c r="A36" i="4"/>
  <c r="A56" i="4"/>
  <c r="A19" i="4"/>
  <c r="A39" i="4"/>
  <c r="A59" i="4"/>
  <c r="E6" i="6"/>
  <c r="A22" i="4"/>
  <c r="A62" i="4"/>
  <c r="A42" i="4"/>
  <c r="A25" i="4"/>
  <c r="A45" i="4"/>
  <c r="A65" i="4"/>
  <c r="A8" i="4"/>
  <c r="A28" i="4"/>
  <c r="A48" i="4"/>
  <c r="A68" i="4"/>
  <c r="A11" i="4"/>
  <c r="A31" i="4"/>
  <c r="A51" i="4"/>
  <c r="A14" i="4"/>
  <c r="A34" i="4"/>
  <c r="G29" i="4" l="1"/>
  <c r="D29" i="4"/>
  <c r="C29" i="4"/>
  <c r="G50" i="4"/>
  <c r="D50" i="4"/>
  <c r="C50" i="4"/>
  <c r="G18" i="4"/>
  <c r="D18" i="4"/>
  <c r="C18" i="4"/>
  <c r="G51" i="4"/>
  <c r="D51" i="4"/>
  <c r="C51" i="4"/>
  <c r="G28" i="4"/>
  <c r="D28" i="4"/>
  <c r="C28" i="4"/>
  <c r="G9" i="4"/>
  <c r="D9" i="4"/>
  <c r="C9" i="4"/>
  <c r="G26" i="4"/>
  <c r="D26" i="4"/>
  <c r="C26" i="4"/>
  <c r="G55" i="4"/>
  <c r="D55" i="4"/>
  <c r="C55" i="4"/>
  <c r="G66" i="4"/>
  <c r="D66" i="4"/>
  <c r="C66" i="4"/>
  <c r="G58" i="4"/>
  <c r="D58" i="4"/>
  <c r="C58" i="4"/>
  <c r="G65" i="4"/>
  <c r="D65" i="4"/>
  <c r="C65" i="4"/>
  <c r="C63" i="4"/>
  <c r="D63" i="4"/>
  <c r="G63" i="4"/>
  <c r="G35" i="4"/>
  <c r="D35" i="4"/>
  <c r="C35" i="4"/>
  <c r="G69" i="4"/>
  <c r="D69" i="4"/>
  <c r="C69" i="4"/>
  <c r="D30" i="4"/>
  <c r="C30" i="4"/>
  <c r="G30" i="4"/>
  <c r="G60" i="4"/>
  <c r="D60" i="4"/>
  <c r="C60" i="4"/>
  <c r="D16" i="4"/>
  <c r="C16" i="4"/>
  <c r="G16" i="4"/>
  <c r="G11" i="4"/>
  <c r="D11" i="4"/>
  <c r="C11" i="4"/>
  <c r="G48" i="4"/>
  <c r="D48" i="4"/>
  <c r="C48" i="4"/>
  <c r="G67" i="4"/>
  <c r="D67" i="4"/>
  <c r="C67" i="4"/>
  <c r="G15" i="4"/>
  <c r="D15" i="4"/>
  <c r="C15" i="4"/>
  <c r="G46" i="4"/>
  <c r="D46" i="4"/>
  <c r="C46" i="4"/>
  <c r="G47" i="4"/>
  <c r="D47" i="4"/>
  <c r="C47" i="4"/>
  <c r="G49" i="4"/>
  <c r="D49" i="4"/>
  <c r="C49" i="4"/>
  <c r="G12" i="4"/>
  <c r="D12" i="4"/>
  <c r="C12" i="4"/>
  <c r="G27" i="4"/>
  <c r="D27" i="4"/>
  <c r="C27" i="4"/>
  <c r="B57" i="4"/>
  <c r="C57" i="4"/>
  <c r="D57" i="4"/>
  <c r="G57" i="4"/>
  <c r="G38" i="4"/>
  <c r="D38" i="4"/>
  <c r="C38" i="4"/>
  <c r="G45" i="4"/>
  <c r="D45" i="4"/>
  <c r="C45" i="4"/>
  <c r="G64" i="4"/>
  <c r="D64" i="4"/>
  <c r="C64" i="4"/>
  <c r="C43" i="4"/>
  <c r="D43" i="4"/>
  <c r="G43" i="4"/>
  <c r="G31" i="4"/>
  <c r="D31" i="4"/>
  <c r="C31" i="4"/>
  <c r="G68" i="4"/>
  <c r="D68" i="4"/>
  <c r="C68" i="4"/>
  <c r="G42" i="4"/>
  <c r="D42" i="4"/>
  <c r="C42" i="4"/>
  <c r="C44" i="4"/>
  <c r="G44" i="4"/>
  <c r="D44" i="4"/>
  <c r="F57" i="4"/>
  <c r="G20" i="4"/>
  <c r="D20" i="4"/>
  <c r="C20" i="4"/>
  <c r="G14" i="4"/>
  <c r="D14" i="4"/>
  <c r="C14" i="4"/>
  <c r="G33" i="4"/>
  <c r="D33" i="4"/>
  <c r="C33" i="4"/>
  <c r="G25" i="4"/>
  <c r="D25" i="4"/>
  <c r="C25" i="4"/>
  <c r="C24" i="4"/>
  <c r="G24" i="4"/>
  <c r="D24" i="4"/>
  <c r="G52" i="4"/>
  <c r="D52" i="4"/>
  <c r="C52" i="4"/>
  <c r="C17" i="4"/>
  <c r="D17" i="4"/>
  <c r="G17" i="4"/>
  <c r="G10" i="4"/>
  <c r="D10" i="4"/>
  <c r="C10" i="4"/>
  <c r="G59" i="4"/>
  <c r="D59" i="4"/>
  <c r="C59" i="4"/>
  <c r="G40" i="4"/>
  <c r="D40" i="4"/>
  <c r="C40" i="4"/>
  <c r="G54" i="4"/>
  <c r="D54" i="4"/>
  <c r="C54" i="4"/>
  <c r="G32" i="4"/>
  <c r="D32" i="4"/>
  <c r="C32" i="4"/>
  <c r="G53" i="4"/>
  <c r="D53" i="4"/>
  <c r="C53" i="4"/>
  <c r="G41" i="4"/>
  <c r="D41" i="4"/>
  <c r="C41" i="4"/>
  <c r="C23" i="4"/>
  <c r="G23" i="4"/>
  <c r="D23" i="4"/>
  <c r="G13" i="4"/>
  <c r="D13" i="4"/>
  <c r="C13" i="4"/>
  <c r="G8" i="4"/>
  <c r="D8" i="4"/>
  <c r="C8" i="4"/>
  <c r="G62" i="4"/>
  <c r="D62" i="4"/>
  <c r="C62" i="4"/>
  <c r="G22" i="4"/>
  <c r="D22" i="4"/>
  <c r="C22" i="4"/>
  <c r="G39" i="4"/>
  <c r="D39" i="4"/>
  <c r="C39" i="4"/>
  <c r="G19" i="4"/>
  <c r="D19" i="4"/>
  <c r="C19" i="4"/>
  <c r="G61" i="4"/>
  <c r="D61" i="4"/>
  <c r="C61" i="4"/>
  <c r="D56" i="4"/>
  <c r="C56" i="4"/>
  <c r="G56" i="4"/>
  <c r="E20" i="4"/>
  <c r="G34" i="4"/>
  <c r="D34" i="4"/>
  <c r="C34" i="4"/>
  <c r="D36" i="4"/>
  <c r="C36" i="4"/>
  <c r="G36" i="4"/>
  <c r="G21" i="4"/>
  <c r="D21" i="4"/>
  <c r="C21" i="4"/>
  <c r="F17" i="4"/>
  <c r="E43" i="4"/>
  <c r="F63" i="4"/>
  <c r="E63" i="4"/>
  <c r="B63" i="4"/>
  <c r="F67" i="4"/>
  <c r="E67" i="4"/>
  <c r="B67" i="4"/>
  <c r="E62" i="4"/>
  <c r="B62" i="4"/>
  <c r="F62" i="4"/>
  <c r="F39" i="4"/>
  <c r="E39" i="4"/>
  <c r="B39" i="4"/>
  <c r="F9" i="4"/>
  <c r="E9" i="4"/>
  <c r="B9" i="4"/>
  <c r="B45" i="4"/>
  <c r="F45" i="4"/>
  <c r="E45" i="4"/>
  <c r="F19" i="4"/>
  <c r="E19" i="4"/>
  <c r="B19" i="4"/>
  <c r="F15" i="4"/>
  <c r="E15" i="4"/>
  <c r="B15" i="4"/>
  <c r="F66" i="4"/>
  <c r="E66" i="4"/>
  <c r="B66" i="4"/>
  <c r="F55" i="4"/>
  <c r="E55" i="4"/>
  <c r="B55" i="4"/>
  <c r="F35" i="4"/>
  <c r="E35" i="4"/>
  <c r="B35" i="4"/>
  <c r="F49" i="4"/>
  <c r="E49" i="4"/>
  <c r="B49" i="4"/>
  <c r="F23" i="4"/>
  <c r="E23" i="4"/>
  <c r="B23" i="4"/>
  <c r="E34" i="4"/>
  <c r="F34" i="4"/>
  <c r="B34" i="4"/>
  <c r="F47" i="4"/>
  <c r="E47" i="4"/>
  <c r="B47" i="4"/>
  <c r="F64" i="4"/>
  <c r="E64" i="4"/>
  <c r="B64" i="4"/>
  <c r="F56" i="4"/>
  <c r="E56" i="4"/>
  <c r="B56" i="4"/>
  <c r="F21" i="4"/>
  <c r="E21" i="4"/>
  <c r="B21" i="4"/>
  <c r="F44" i="4"/>
  <c r="E44" i="4"/>
  <c r="B44" i="4"/>
  <c r="B46" i="4"/>
  <c r="F46" i="4"/>
  <c r="E46" i="4"/>
  <c r="F60" i="4"/>
  <c r="E60" i="4"/>
  <c r="B60" i="4"/>
  <c r="E42" i="4"/>
  <c r="F42" i="4"/>
  <c r="B42" i="4"/>
  <c r="F29" i="4"/>
  <c r="E29" i="4"/>
  <c r="B29" i="4"/>
  <c r="F53" i="4"/>
  <c r="E53" i="4"/>
  <c r="B53" i="4"/>
  <c r="E34" i="6"/>
  <c r="E18" i="6"/>
  <c r="E15" i="6"/>
  <c r="E12" i="6"/>
  <c r="E9" i="6"/>
  <c r="B40" i="4"/>
  <c r="F40" i="4"/>
  <c r="E40" i="4"/>
  <c r="F41" i="4"/>
  <c r="E41" i="4"/>
  <c r="B41" i="4"/>
  <c r="E14" i="4"/>
  <c r="B14" i="4"/>
  <c r="F14" i="4"/>
  <c r="B31" i="4"/>
  <c r="E31" i="4"/>
  <c r="F31" i="4"/>
  <c r="F33" i="4"/>
  <c r="E33" i="4"/>
  <c r="B33" i="4"/>
  <c r="F58" i="4"/>
  <c r="E58" i="4"/>
  <c r="B58" i="4"/>
  <c r="B65" i="4"/>
  <c r="F65" i="4"/>
  <c r="E65" i="4"/>
  <c r="F69" i="4"/>
  <c r="E69" i="4"/>
  <c r="B69" i="4"/>
  <c r="B51" i="4"/>
  <c r="E51" i="4"/>
  <c r="F51" i="4"/>
  <c r="B68" i="4"/>
  <c r="F68" i="4"/>
  <c r="E68" i="4"/>
  <c r="F52" i="4"/>
  <c r="E52" i="4"/>
  <c r="B52" i="4"/>
  <c r="B25" i="4"/>
  <c r="E25" i="4"/>
  <c r="F25" i="4"/>
  <c r="F27" i="4"/>
  <c r="E27" i="4"/>
  <c r="B27" i="4"/>
  <c r="F16" i="4"/>
  <c r="E16" i="4"/>
  <c r="B16" i="4"/>
  <c r="B48" i="4"/>
  <c r="E48" i="4"/>
  <c r="F48" i="4"/>
  <c r="F38" i="4"/>
  <c r="E38" i="4"/>
  <c r="B38" i="4"/>
  <c r="F59" i="4"/>
  <c r="E59" i="4"/>
  <c r="B59" i="4"/>
  <c r="F61" i="4"/>
  <c r="E61" i="4"/>
  <c r="B61" i="4"/>
  <c r="F13" i="4"/>
  <c r="E13" i="4"/>
  <c r="B13" i="4"/>
  <c r="F50" i="4"/>
  <c r="E50" i="4"/>
  <c r="B50" i="4"/>
  <c r="B28" i="4"/>
  <c r="F28" i="4"/>
  <c r="E28" i="4"/>
  <c r="F30" i="4"/>
  <c r="E30" i="4"/>
  <c r="B30" i="4"/>
  <c r="F12" i="4"/>
  <c r="E12" i="4"/>
  <c r="B12" i="4"/>
  <c r="E22" i="4"/>
  <c r="B22" i="4"/>
  <c r="F22" i="4"/>
  <c r="F24" i="4"/>
  <c r="E24" i="4"/>
  <c r="B24" i="4"/>
  <c r="F36" i="4"/>
  <c r="E36" i="4"/>
  <c r="B36" i="4"/>
  <c r="B26" i="4"/>
  <c r="F26" i="4"/>
  <c r="E26" i="4"/>
  <c r="B11" i="4"/>
  <c r="E11" i="4"/>
  <c r="F11" i="4"/>
  <c r="B8" i="4"/>
  <c r="E8" i="4"/>
  <c r="F8" i="4"/>
  <c r="F10" i="4"/>
  <c r="E10" i="4"/>
  <c r="B10" i="4"/>
  <c r="F18" i="4"/>
  <c r="E18" i="4"/>
  <c r="B18" i="4"/>
  <c r="F32" i="4"/>
  <c r="E32" i="4"/>
  <c r="B3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tc={7488ED64-C469-590A-BEB2-6EAD04963EF9}</author>
  </authors>
  <commentList>
    <comment ref="D6" authorId="0" shapeId="0" xr:uid="{00000000-0006-0000-0100-000001000000}">
      <text>
        <r>
          <rPr>
            <sz val="11"/>
            <rFont val="Carlito"/>
          </rPr>
          <t>[Threaded comment]
Your version of Excel allows you to read this threaded comment; however, any edits to it will get removed if the file is opened in a newer version of Excel. Learn more: https://go.microsoft.com/fwlink/?linkid=870924
Comment:
    Applies to D6:D20
From Paycheck to Breathing Room, supplied complete manuscript SHA-256 b0e25fe21a56d64cdaaf69606cc1e73381d05452a2cabe0fed1a591f7fcbff1a. Fictional worked examples; not personal targets. Exact book ledger in October; year 2026 assigned for date arithmetic. November is the manuscript’s unchanged-pattern extension. The checking floor is chosen, not universal.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tc={28AFF551-86F9-3833-B3E1-3BC91E4B11F5}</author>
  </authors>
  <commentList>
    <comment ref="A8" authorId="0" shapeId="0" xr:uid="{00000000-0006-0000-0200-000001000000}">
      <text>
        <r>
          <rPr>
            <sz val="11"/>
            <rFont val="Carlito"/>
          </rPr>
          <t>[Threaded comment]
Your version of Excel allows you to read this threaded comment; however, any edits to it will get removed if the file is opened in a newer version of Excel. Learn more: https://go.microsoft.com/fwlink/?linkid=870924
Comment:
    Applies to A8:H79
From Paycheck to Breathing Room, supplied complete manuscript SHA-256 b0e25fe21a56d64cdaaf69606cc1e73381d05452a2cabe0fed1a591f7fcbff1a. Fictional worked examples; not personal targets. October ledger: Working Pages. November extension follows Chapter 6; all future rows are scheduled assumptions, not already received cash. Verified timing is a fictional teaching condition.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tc={0FDC2720-3EBA-5471-4EBD-85EFB7A42FFC}</author>
  </authors>
  <commentList>
    <comment ref="D8" authorId="0" shapeId="0" xr:uid="{00000000-0006-0000-0400-000001000000}">
      <text>
        <r>
          <rPr>
            <sz val="11"/>
            <rFont val="Carlito"/>
          </rPr>
          <t>[Threaded comment]
Your version of Excel allows you to read this threaded comment; however, any edits to it will get removed if the file is opened in a newer version of Excel. Learn more: https://go.microsoft.com/fwlink/?linkid=870924
Comment:
    Applies to D8:D26
From Paycheck to Breathing Room, supplied complete manuscript SHA-256 b0e25fe21a56d64cdaaf69606cc1e73381d05452a2cabe0fed1a591f7fcbff1a. Fictional worked examples; not personal targets. Chapter 1: 640 - 90 - 330 - 140 - 50 = 30. Proposed dinner 45 exceeds room by 15. Source of actual entries must be your own account and commitments; no pending deposit is counted.</t>
        </r>
      </text>
    </comment>
  </commentList>
</comments>
</file>

<file path=xl/sharedStrings.xml><?xml version="1.0" encoding="utf-8"?>
<sst xmlns="http://schemas.openxmlformats.org/spreadsheetml/2006/main" count="82" uniqueCount="82">
  <si>
    <t>P2 / Two-Payday Cash Planner</t>
  </si>
  <si>
    <t>PURPOSE</t>
  </si>
  <si>
    <t>Use the gold entry cells. Green/black formula cells calculate; never type over them. A dash is a known zero, not an unknown input.</t>
  </si>
  <si>
    <t>HOW TO BEGIN</t>
  </si>
  <si>
    <t>Read the PDF guide, open the Example file, then save a separate copy of Your_Copy. Start with one real decision rather than every possible category.</t>
  </si>
  <si>
    <t>MEANING MATTERS</t>
  </si>
  <si>
    <t>Monthly assignments, checking cash and reserve balances are different views of the same money. Do not add their totals together.</t>
  </si>
  <si>
    <t>LOCAL USE</t>
  </si>
  <si>
    <t>No macros, bank connection, account login or paid service. No external workbook links. Keep account numbers and passwords out of these files.</t>
  </si>
  <si>
    <t>WHERE THE METHOD COMES FROM</t>
  </si>
  <si>
    <t>Chapters 1, 3, 4, 6 and 9; Working Pages: Your payday ledger and The short review. Current cash is separate from conditional future cash. Transfer rows affect checking, never household income.</t>
  </si>
  <si>
    <t>AUTHORS</t>
  </si>
  <si>
    <t>Evan Calder &amp; Daniel H. Mercer  /  Groundwell Press. Companion prepared from the supplied manuscript; its core teaching remains in the book.</t>
  </si>
  <si>
    <t>EXAMPLES</t>
  </si>
  <si>
    <t>Nina and Alex are the book’s fictional household. Extra transaction splits and dates are explicitly teaching assumptions, not market data.</t>
  </si>
  <si>
    <t>SOFTWARE</t>
  </si>
  <si>
    <t>LIMITS</t>
  </si>
  <si>
    <t>Manual planning, not bank reconciliation automation or individualized financial advice. A positive projection is conditional on complete entries and money arriving when assumed.</t>
  </si>
  <si>
    <t>SOURCE</t>
  </si>
  <si>
    <t>From Paycheck to Breathing Room, supplied complete manuscript SHA-256 b0e25fe21a56d64cdaaf69606cc1e73381d05452a2cabe0fed1a591f7fcbff1a. Fictional worked examples; not personal targets.</t>
  </si>
  <si>
    <t>EXTERNAL CROSS-CHECK</t>
  </si>
  <si>
    <t>https://consumer.gov/your-money/making-budget
https://www.consumerfinance.gov/consumer-tools/bank-accounts/know-your-overdraft-options/</t>
  </si>
  <si>
    <t>Choose the cash window</t>
  </si>
  <si>
    <t>One checking account, up to 62 days. This is a dated manual projection, not a connection to your bank.</t>
  </si>
  <si>
    <t>Window start</t>
  </si>
  <si>
    <t>Window end</t>
  </si>
  <si>
    <t>Opening usable checking, USD</t>
  </si>
  <si>
    <t>Chosen checking floor, USD</t>
  </si>
  <si>
    <t>Opening balance basis</t>
  </si>
  <si>
    <t>Opening adjusted and verified?</t>
  </si>
  <si>
    <t>All known movements entered?</t>
  </si>
  <si>
    <t>Opening source / cut-off</t>
  </si>
  <si>
    <t>OPENING CASH MUST HAVE ONE CUT-OFF
Begin immediately before the first event. Remove outgoing items not already reflected in the bank figure OR put them once in Events. Do not do both. Exclude unavailable deposits. Enter transfers and card payments when they affect checking, but do not also enter the card purchase as another checking withdrawal.</t>
  </si>
  <si>
    <t>Give each movement a date</t>
  </si>
  <si>
    <t>Enter when money becomes usable or leaves checking. Delayed income is excluded until you know its new usable date. Never change a contractual due date without confirmation.</t>
  </si>
  <si>
    <t>Date usable / leaves</t>
  </si>
  <si>
    <t>Movement</t>
  </si>
  <si>
    <t>Kind</t>
  </si>
  <si>
    <t>Direction</t>
  </si>
  <si>
    <t>USD</t>
  </si>
  <si>
    <t>State</t>
  </si>
  <si>
    <t>Timing basis</t>
  </si>
  <si>
    <t>Source / assumption</t>
  </si>
  <si>
    <t>Check</t>
  </si>
  <si>
    <t>See the low point, not just the ending</t>
  </si>
  <si>
    <t>Daily closing projections. Same-day deposits may require a separate timing check. No automatic payment orders.</t>
  </si>
  <si>
    <t>Date</t>
  </si>
  <si>
    <t>Opening USD</t>
  </si>
  <si>
    <t>Money in USD</t>
  </si>
  <si>
    <t>Money out USD</t>
  </si>
  <si>
    <t>Closing USD</t>
  </si>
  <si>
    <t>Above / below floor</t>
  </si>
  <si>
    <t>Timing / status</t>
  </si>
  <si>
    <t>What can this choice use today?</t>
  </si>
  <si>
    <t>A fresh snapshot before the next AVAILABLE deposit. Do not import future income from the projection above.</t>
  </si>
  <si>
    <t>Snapshot date</t>
  </si>
  <si>
    <t>Bank figure you are using</t>
  </si>
  <si>
    <t>Balance basis</t>
  </si>
  <si>
    <t>Outgoing not already deducted</t>
  </si>
  <si>
    <t>Other committed withdrawals before payday</t>
  </si>
  <si>
    <t>Food / travel / essentials before payday</t>
  </si>
  <si>
    <t>Other reserved cash NOT in the rows above</t>
  </si>
  <si>
    <t>Checking floor to protect</t>
  </si>
  <si>
    <t>Proposed optional purchase</t>
  </si>
  <si>
    <t>All commitments checked once?</t>
  </si>
  <si>
    <t>Basis / notes</t>
  </si>
  <si>
    <t>Room after the commitments above</t>
  </si>
  <si>
    <t>Room after the proposed purchase</t>
  </si>
  <si>
    <t>Do not subtract a debit hold twice. A funded card purchase belongs either in committed payments or in the reserved-cash line—not both. If necessary costs already exceed cash, this is a shortage to resolve, not a spending allowance. Chapter 7 supplies the next route.</t>
  </si>
  <si>
    <t>A clearer view of the next paydays</t>
  </si>
  <si>
    <t>The calendar is conditional. Cash now is a separate present-day check. Neither guarantees bank posting order.</t>
  </si>
  <si>
    <t>CALENDAR STATE</t>
  </si>
  <si>
    <t>Lowest projected closing balance</t>
  </si>
  <si>
    <t>Below the chosen floor by</t>
  </si>
  <si>
    <t>Projected window close</t>
  </si>
  <si>
    <t>Days needing a same-day check</t>
  </si>
  <si>
    <t>HOW TO CHANGE THE NEXT DECISION
A positive ending does not fix an earlier shortage. Open Calendar and locate the first low point. Test only changes you can actually make: a verified new bill date, less flexible spending, or a later savings transfer. Keep a dated copy of the old plan. Put a delayed deposit on its new verified date; until then mark it Delayed.</t>
  </si>
  <si>
    <t>YOUR COPY: fill Setup, then Events. Confirm the window is complete only after you enter ordinary spending and transfers as well as bills. Use Cash now separately when deciding about an optional purchase today.</t>
  </si>
  <si>
    <t>First occurrence of the projected low</t>
  </si>
  <si>
    <t>READ THE DATES
Use Calendar to follow the exact daily amounts. A future low is conditional, not a verified account balance. Cash now remains the separate check for a choice before the next available deposit.</t>
  </si>
  <si>
    <t>Groundwell Press  •  From Paycheck to Breathing Room  •  v1.1 / private review</t>
  </si>
  <si>
    <t>v1.1 checked independently in Microsoft Excel 16 on Windows: examples, own-input cases, date/time boundaries, save/reopen. Other spreadsheet apps remain untested.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</si>
</sst>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 d\,\ yyyy"/>
    <numFmt numFmtId="165" formatCode="\$#,##0.00;[Red]\(\$#,##0.00\);&quot;—&quot;"/>
    <numFmt numFmtId="166" formatCode="#,##0;[Red]\(#,##0\);&quot;—&quot;"/>
    <numFmt numFmtId="167" formatCode="\$#,##0.00&quot;  &quot;;[Red]\(\$#,##0.00\)&quot;  &quot;;&quot;—  &quot;"/>
  </numFmts>
  <fonts count="13">
    <font>
      <sz val="11"/>
      <name val="Carlito"/>
    </font>
    <font>
      <sz val="11"/>
      <color rgb="FF202B2A"/>
      <name val="Arial"/>
    </font>
    <font>
      <b/>
      <sz val="24"/>
      <color rgb="FFFFFFFF"/>
      <name val="Arial"/>
    </font>
    <font>
      <sz val="11"/>
      <color rgb="FF576761"/>
      <name val="Arial"/>
    </font>
    <font>
      <b/>
      <sz val="10"/>
      <color rgb="FF183F3B"/>
      <name val="Arial"/>
    </font>
    <font>
      <sz val="11"/>
      <color rgb="FF202B2A"/>
      <name val="Arial"/>
    </font>
    <font>
      <b/>
      <sz val="11"/>
      <color rgb="FF202B2A"/>
      <name val="Arial"/>
    </font>
    <font>
      <sz val="11"/>
      <color rgb="FF0000FF"/>
      <name val="Arial"/>
    </font>
    <font>
      <sz val="12"/>
      <color rgb="FF202B2A"/>
      <name val="Arial"/>
    </font>
    <font>
      <sz val="11"/>
      <color rgb="FF000000"/>
      <name val="Arial"/>
    </font>
    <font>
      <b/>
      <sz val="10"/>
      <color rgb="FFFFFFFF"/>
      <name val="Arial"/>
    </font>
    <font>
      <sz val="11"/>
      <color rgb="FF008000"/>
      <name val="Arial"/>
    </font>
    <font>
      <b/>
      <sz val="18"/>
      <color rgb="FF000000"/>
      <name val="Arial"/>
    </font>
  </fonts>
  <fills count="7">
    <fill>
      <patternFill patternType="none"/>
    </fill>
    <fill>
      <patternFill patternType="gray125"/>
    </fill>
    <fill>
      <patternFill patternType="solid">
        <fgColor rgb="FFFFFFFF"/>
      </patternFill>
    </fill>
    <fill>
      <patternFill patternType="solid">
        <fgColor rgb="FF183F3B"/>
      </patternFill>
    </fill>
    <fill>
      <patternFill patternType="solid">
        <fgColor rgb="FFF8F5EF"/>
      </patternFill>
    </fill>
    <fill>
      <patternFill patternType="solid">
        <fgColor rgb="FFE9F1EE"/>
      </patternFill>
    </fill>
    <fill>
      <patternFill patternType="solid">
        <fgColor rgb="FFFFF9E6"/>
      </patternFill>
    </fill>
  </fills>
  <borders count="10">
    <border>
      <left/>
      <right/>
      <top/>
      <bottom/>
      <diagonal/>
    </border>
    <border>
      <left/>
      <right style="thin">
        <color rgb="FFFFFFFF"/>
      </right>
      <top/>
      <bottom style="hair">
        <color rgb="FFFFFFFF"/>
      </bottom>
      <diagonal/>
    </border>
    <border>
      <left style="thin">
        <color rgb="FFFFFFFF"/>
      </left>
      <right style="thin">
        <color rgb="FFFFFFFF"/>
      </right>
      <top/>
      <bottom style="hair">
        <color rgb="FFFFFFFF"/>
      </bottom>
      <diagonal/>
    </border>
    <border>
      <left style="thin">
        <color rgb="FFFFFFFF"/>
      </left>
      <right/>
      <top/>
      <bottom style="hair">
        <color rgb="FFFFFFFF"/>
      </bottom>
      <diagonal/>
    </border>
    <border>
      <left/>
      <right style="thin">
        <color rgb="FFFFFFFF"/>
      </right>
      <top style="hair">
        <color rgb="FFFFFFFF"/>
      </top>
      <bottom style="hair">
        <color rgb="FFFFFFFF"/>
      </bottom>
      <diagonal/>
    </border>
    <border>
      <left style="thin">
        <color rgb="FFFFFFFF"/>
      </left>
      <right style="thin">
        <color rgb="FFFFFFFF"/>
      </right>
      <top style="hair">
        <color rgb="FFFFFFFF"/>
      </top>
      <bottom style="hair">
        <color rgb="FFFFFFFF"/>
      </bottom>
      <diagonal/>
    </border>
    <border>
      <left style="thin">
        <color rgb="FFFFFFFF"/>
      </left>
      <right/>
      <top style="hair">
        <color rgb="FFFFFFFF"/>
      </top>
      <bottom style="hair">
        <color rgb="FFFFFFFF"/>
      </bottom>
      <diagonal/>
    </border>
    <border>
      <left/>
      <right style="thin">
        <color rgb="FFFFFFFF"/>
      </right>
      <top style="hair">
        <color rgb="FFFFFFFF"/>
      </top>
      <bottom/>
      <diagonal/>
    </border>
    <border>
      <left style="thin">
        <color rgb="FFFFFFFF"/>
      </left>
      <right style="thin">
        <color rgb="FFFFFFFF"/>
      </right>
      <top style="hair">
        <color rgb="FFFFFFFF"/>
      </top>
      <bottom/>
      <diagonal/>
    </border>
    <border>
      <left style="thin">
        <color rgb="FFFFFFFF"/>
      </left>
      <right/>
      <top style="hair">
        <color rgb="FFFFFFFF"/>
      </top>
      <bottom/>
      <diagonal/>
    </border>
  </borders>
  <cellStyleXfs count="1">
    <xf numFmtId="0" fontId="0" fillId="0" borderId="0"/>
  </cellStyleXfs>
  <cellXfs count="36">
    <xf numFmtId="0" fontId="0" fillId="0" borderId="0" xfId="0"/>
    <xf numFmtId="0" fontId="1" fillId="2" borderId="0" xfId="0" applyNumberFormat="1" applyFont="1" applyFill="1" applyBorder="1" applyAlignment="1">
      <alignment vertical="center"/>
    </xf>
    <xf numFmtId="0" fontId="9" fillId="5" borderId="0" xfId="0" applyNumberFormat="1" applyFont="1" applyFill="1" applyBorder="1" applyAlignment="1">
      <alignment vertical="center" wrapText="1"/>
    </xf>
    <xf numFmtId="0" fontId="10" fillId="3" borderId="1" xfId="0" applyNumberFormat="1" applyFont="1" applyFill="1" applyBorder="1" applyAlignment="1">
      <alignment vertical="center" wrapText="1"/>
    </xf>
    <xf numFmtId="0" fontId="10" fillId="3" borderId="2" xfId="0" applyNumberFormat="1" applyFont="1" applyFill="1" applyBorder="1" applyAlignment="1">
      <alignment vertical="center" wrapText="1"/>
    </xf>
    <xf numFmtId="0" fontId="10" fillId="3" borderId="3" xfId="0" applyNumberFormat="1" applyFont="1" applyFill="1" applyBorder="1" applyAlignment="1">
      <alignment vertical="center" wrapText="1"/>
    </xf>
    <xf numFmtId="164" fontId="7" fillId="6" borderId="4" xfId="0" applyNumberFormat="1" applyFont="1" applyFill="1" applyBorder="1" applyAlignment="1">
      <alignment vertical="center" wrapText="1"/>
    </xf>
    <xf numFmtId="0" fontId="7" fillId="6" borderId="5" xfId="0" applyNumberFormat="1" applyFont="1" applyFill="1" applyBorder="1" applyAlignment="1">
      <alignment vertical="center" wrapText="1"/>
    </xf>
    <xf numFmtId="167" fontId="7" fillId="6" borderId="5" xfId="0" applyNumberFormat="1" applyFont="1" applyFill="1" applyBorder="1" applyAlignment="1">
      <alignment vertical="center" wrapText="1"/>
    </xf>
    <xf numFmtId="0" fontId="9" fillId="5" borderId="6" xfId="0" applyNumberFormat="1" applyFont="1" applyFill="1" applyBorder="1" applyAlignment="1">
      <alignment vertical="center" wrapText="1"/>
    </xf>
    <xf numFmtId="164" fontId="7" fillId="6" borderId="7" xfId="0" applyNumberFormat="1" applyFont="1" applyFill="1" applyBorder="1" applyAlignment="1">
      <alignment vertical="center" wrapText="1"/>
    </xf>
    <xf numFmtId="0" fontId="7" fillId="6" borderId="8" xfId="0" applyNumberFormat="1" applyFont="1" applyFill="1" applyBorder="1" applyAlignment="1">
      <alignment vertical="center" wrapText="1"/>
    </xf>
    <xf numFmtId="167" fontId="7" fillId="6" borderId="8" xfId="0" applyNumberFormat="1" applyFont="1" applyFill="1" applyBorder="1" applyAlignment="1">
      <alignment vertical="center" wrapText="1"/>
    </xf>
    <xf numFmtId="0" fontId="9" fillId="5" borderId="9" xfId="0" applyNumberFormat="1" applyFont="1" applyFill="1" applyBorder="1" applyAlignment="1">
      <alignment vertical="center" wrapText="1"/>
    </xf>
    <xf numFmtId="164" fontId="1" fillId="2" borderId="4" xfId="0" applyNumberFormat="1" applyFont="1" applyFill="1" applyBorder="1" applyAlignment="1">
      <alignment vertical="center"/>
    </xf>
    <xf numFmtId="167" fontId="11" fillId="5" borderId="5" xfId="0" applyNumberFormat="1" applyFont="1" applyFill="1" applyBorder="1" applyAlignment="1">
      <alignment vertical="center" wrapText="1"/>
    </xf>
    <xf numFmtId="0" fontId="1" fillId="2" borderId="6" xfId="0" applyNumberFormat="1" applyFont="1" applyFill="1" applyBorder="1" applyAlignment="1">
      <alignment vertical="center" wrapText="1"/>
    </xf>
    <xf numFmtId="164" fontId="1" fillId="2" borderId="7" xfId="0" applyNumberFormat="1" applyFont="1" applyFill="1" applyBorder="1" applyAlignment="1">
      <alignment vertical="center"/>
    </xf>
    <xf numFmtId="167" fontId="11" fillId="5" borderId="8" xfId="0" applyNumberFormat="1" applyFont="1" applyFill="1" applyBorder="1" applyAlignment="1">
      <alignment vertical="center" wrapText="1"/>
    </xf>
    <xf numFmtId="0" fontId="1" fillId="2" borderId="9" xfId="0" applyNumberFormat="1" applyFont="1" applyFill="1" applyBorder="1" applyAlignment="1">
      <alignment vertical="center" wrapText="1"/>
    </xf>
    <xf numFmtId="167" fontId="1" fillId="2" borderId="0" xfId="0" applyNumberFormat="1" applyFont="1" applyFill="1" applyBorder="1" applyAlignment="1">
      <alignment vertical="center"/>
    </xf>
    <xf numFmtId="0" fontId="2" fillId="3" borderId="0" xfId="0" applyNumberFormat="1" applyFont="1" applyFill="1" applyBorder="1" applyAlignment="1">
      <alignment vertical="center" wrapText="1"/>
    </xf>
    <xf numFmtId="0" fontId="3" fillId="4" borderId="0" xfId="0" applyNumberFormat="1" applyFont="1" applyFill="1" applyBorder="1" applyAlignment="1">
      <alignment vertical="center" wrapText="1"/>
    </xf>
    <xf numFmtId="0" fontId="4" fillId="5" borderId="0" xfId="0" applyNumberFormat="1" applyFont="1" applyFill="1" applyBorder="1" applyAlignment="1">
      <alignment vertical="center" wrapText="1"/>
    </xf>
    <xf numFmtId="0" fontId="5" fillId="2" borderId="0" xfId="0" applyNumberFormat="1" applyFont="1" applyFill="1" applyBorder="1" applyAlignment="1">
      <alignment vertical="center" wrapText="1"/>
    </xf>
    <xf numFmtId="0" fontId="6" fillId="4" borderId="0" xfId="0" applyNumberFormat="1" applyFont="1" applyFill="1" applyBorder="1" applyAlignment="1">
      <alignment vertical="center" wrapText="1"/>
    </xf>
    <xf numFmtId="164" fontId="7" fillId="6" borderId="0" xfId="0" applyNumberFormat="1" applyFont="1" applyFill="1" applyBorder="1" applyAlignment="1">
      <alignment vertical="center" wrapText="1"/>
    </xf>
    <xf numFmtId="165" fontId="7" fillId="6" borderId="0" xfId="0" applyNumberFormat="1" applyFont="1" applyFill="1" applyBorder="1" applyAlignment="1">
      <alignment vertical="center" wrapText="1"/>
    </xf>
    <xf numFmtId="0" fontId="7" fillId="6" borderId="0" xfId="0" applyNumberFormat="1" applyFont="1" applyFill="1" applyBorder="1" applyAlignment="1">
      <alignment vertical="center" wrapText="1"/>
    </xf>
    <xf numFmtId="0" fontId="8" fillId="4" borderId="0" xfId="0" applyNumberFormat="1" applyFont="1" applyFill="1" applyBorder="1" applyAlignment="1">
      <alignment vertical="center" wrapText="1"/>
    </xf>
    <xf numFmtId="167" fontId="12" fillId="5" borderId="0" xfId="0" applyNumberFormat="1" applyFont="1" applyFill="1" applyBorder="1" applyAlignment="1">
      <alignment vertical="center" wrapText="1"/>
    </xf>
    <xf numFmtId="0" fontId="12" fillId="5" borderId="0" xfId="0" applyNumberFormat="1" applyFont="1" applyFill="1" applyBorder="1" applyAlignment="1">
      <alignment vertical="center" wrapText="1"/>
    </xf>
    <xf numFmtId="165" fontId="12" fillId="5" borderId="0" xfId="0" applyNumberFormat="1" applyFont="1" applyFill="1" applyBorder="1" applyAlignment="1">
      <alignment vertical="center" wrapText="1"/>
    </xf>
    <xf numFmtId="166" fontId="12" fillId="5" borderId="0" xfId="0" applyNumberFormat="1" applyFont="1" applyFill="1" applyBorder="1" applyAlignment="1">
      <alignment vertical="center" wrapText="1"/>
    </xf>
    <xf numFmtId="0" fontId="5" fillId="4" borderId="0" xfId="0" applyNumberFormat="1" applyFont="1" applyFill="1" applyBorder="1" applyAlignment="1">
      <alignment vertical="center" wrapText="1"/>
    </xf>
    <xf numFmtId="164" fontId="12" fillId="5" borderId="0" xfId="0" applyNumberFormat="1" applyFont="1" applyFill="1" applyBorder="1" applyAlignment="1">
      <alignment vertical="center" wrapText="1"/>
    </xf>
  </cellXfs>
  <cellStyles count="1">
    <cellStyle name="Normal" xfId="0" builtinId="0"/>
  </cellStyles>
  <dxfs count="2">
    <dxf>
      <font>
        <color rgb="FF9C2618"/>
      </font>
      <fill>
        <patternFill patternType="solid">
          <bgColor rgb="FFF9DDD6"/>
        </patternFill>
      </fill>
    </dxf>
    <dxf>
      <font>
        <color rgb="FF7D2F22"/>
      </font>
      <fill>
        <patternFill patternType="solid">
          <bgColor rgb="FFF9DD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01f7bcd248f84312"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457200</xdr:colOff>
      <xdr:row>30</xdr:row>
      <xdr:rowOff>190500</xdr:rowOff>
    </xdr:to>
    <xdr:sp macro="" textlink="">
      <xdr:nvSpPr>
        <xdr:cNvPr id="1026" name="Text Box 2" hidden="1">
          <a:extLst>
            <a:ext uri="{FF2B5EF4-FFF2-40B4-BE49-F238E27FC236}">
              <a16:creationId xmlns:a16="http://schemas.microsoft.com/office/drawing/2014/main" id="{31E8A904-31F5-9008-1C95-B4735895EB8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990600</xdr:colOff>
      <xdr:row>20</xdr:row>
      <xdr:rowOff>95250</xdr:rowOff>
    </xdr:to>
    <xdr:sp macro="" textlink="">
      <xdr:nvSpPr>
        <xdr:cNvPr id="2050" name="Text Box 2" hidden="1">
          <a:extLst>
            <a:ext uri="{FF2B5EF4-FFF2-40B4-BE49-F238E27FC236}">
              <a16:creationId xmlns:a16="http://schemas.microsoft.com/office/drawing/2014/main" id="{568AC77D-E0B0-C154-87F3-C4599E4E4C3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762000</xdr:colOff>
      <xdr:row>30</xdr:row>
      <xdr:rowOff>133350</xdr:rowOff>
    </xdr:to>
    <xdr:sp macro="" textlink="">
      <xdr:nvSpPr>
        <xdr:cNvPr id="3074" name="Text Box 2" hidden="1">
          <a:extLst>
            <a:ext uri="{FF2B5EF4-FFF2-40B4-BE49-F238E27FC236}">
              <a16:creationId xmlns:a16="http://schemas.microsoft.com/office/drawing/2014/main" id="{88599F7C-23AA-E20F-091D-28C2C53B57C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persons/person.xml><?xml version="1.0" encoding="utf-8"?>
<xltc:personList xmlns:xltc="http://schemas.microsoft.com/office/spreadsheetml/2018/threadedcomments">
  <xltc:person displayName="Groundwell Press" id="{F5DA4D9D-46D8-48B2-8099-E360289106DD}"/>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xml><?xml version="1.0" encoding="utf-8"?>
<xltc:ThreadedComments xmlns:xltc="http://schemas.microsoft.com/office/spreadsheetml/2018/threadedcomments">
  <xltc:threadedComment ref="D6" dT="2026-10-06T01:25:58.128" personId="{F5DA4D9D-46D8-48B2-8099-E360289106DD}" id="{7488ED64-C469-590A-BEB2-6EAD04963EF9}">
    <xltc:text>Applies to D6:D20
From Paycheck to Breathing Room, supplied complete manuscript SHA-256 b0e25fe21a56d64cdaaf69606cc1e73381d05452a2cabe0fed1a591f7fcbff1a. Fictional worked examples; not personal targets. Exact book ledger in October; year 2026 assigned for date arithmetic. November is the manuscript’s unchanged-pattern extension. The checking floor is chosen, not universal.</xltc:text>
  </xltc:threadedComment>
</xltc:ThreadedComments>
</file>

<file path=xl/threadedcomments/threadedcomment2.xml><?xml version="1.0" encoding="utf-8"?>
<xltc:ThreadedComments xmlns:xltc="http://schemas.microsoft.com/office/spreadsheetml/2018/threadedcomments">
  <xltc:threadedComment ref="A8" dT="2026-10-06T01:26:00.076" personId="{F5DA4D9D-46D8-48B2-8099-E360289106DD}" id="{28AFF551-86F9-3833-B3E1-3BC91E4B11F5}">
    <xltc:text>Applies to A8:H79
From Paycheck to Breathing Room, supplied complete manuscript SHA-256 b0e25fe21a56d64cdaaf69606cc1e73381d05452a2cabe0fed1a591f7fcbff1a. Fictional worked examples; not personal targets. October ledger: Working Pages. November extension follows Chapter 6; all future rows are scheduled assumptions, not already received cash. Verified timing is a fictional teaching condition.</xltc:text>
  </xltc:threadedComment>
</xltc:ThreadedComments>
</file>

<file path=xl/threadedcomments/threadedcomment3.xml><?xml version="1.0" encoding="utf-8"?>
<xltc:ThreadedComments xmlns:xltc="http://schemas.microsoft.com/office/spreadsheetml/2018/threadedcomments">
  <xltc:threadedComment ref="D8" dT="2026-10-06T01:26:01.448" personId="{F5DA4D9D-46D8-48B2-8099-E360289106DD}" id="{0FDC2720-3EBA-5471-4EBD-85EFB7A42FFC}">
    <xltc:text>Applies to D8:D26
From Paycheck to Breathing Room, supplied complete manuscript SHA-256 b0e25fe21a56d64cdaaf69606cc1e73381d05452a2cabe0fed1a591f7fcbff1a. Fictional worked examples; not personal targets. Chapter 1: 640 - 90 - 330 - 140 - 50 = 30. Proposed dinner 45 exceeds room by 15. Source of actual entries must be your own account and commitments; no pending deposit is counted.</xltc:text>
  </xltc:threadedComment>
</xltc: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d0c19f26fc184d41" Type="http://schemas.microsoft.com/office/2017/10/relationships/threadedComment" Target="../threadedcomments/threadedcomment.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e2dbc3aa89784fce" Type="http://schemas.microsoft.com/office/2017/10/relationships/threadedComment" Target="../threadedcomments/threadedcomment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a84b35eec7994a80" Type="http://schemas.microsoft.com/office/2017/10/relationships/threadedComment" Target="../threadedcomments/threadedcomment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
  <sheetViews>
    <sheetView showGridLines="0" tabSelected="1" workbookViewId="0">
      <selection sqref="A1:F2"/>
    </sheetView>
  </sheetViews>
  <sheetFormatPr defaultRowHeight="14.25"/>
  <cols>
    <col min="1" max="1" width="27" customWidth="1"/>
    <col min="2" max="6" width="23" customWidth="1"/>
  </cols>
  <sheetData>
    <row r="1" spans="1:6" ht="26.1" customHeight="1">
      <c r="A1" s="21" t="s">
        <v>0</v>
      </c>
      <c r="B1" s="21"/>
      <c r="C1" s="21"/>
      <c r="D1" s="21"/>
      <c r="E1" s="21"/>
      <c r="F1" s="21"/>
    </row>
    <row r="2" spans="1:6" ht="26.1" customHeight="1">
      <c r="A2" s="21"/>
      <c r="B2" s="21"/>
      <c r="C2" s="21"/>
      <c r="D2" s="21"/>
      <c r="E2" s="21"/>
      <c r="F2" s="21"/>
    </row>
    <row r="3" spans="1:6" ht="24" customHeight="1">
      <c r="A3" s="22" t="s">
        <v>80</v>
      </c>
      <c r="B3" s="22"/>
      <c r="C3" s="22"/>
      <c r="D3" s="22"/>
      <c r="E3" s="22"/>
      <c r="F3" s="22"/>
    </row>
    <row r="4" spans="1:6" ht="24" customHeight="1">
      <c r="A4" s="22"/>
      <c r="B4" s="22"/>
      <c r="C4" s="22"/>
      <c r="D4" s="22"/>
      <c r="E4" s="22"/>
      <c r="F4" s="22"/>
    </row>
    <row r="5" spans="1:6" ht="24" customHeight="1">
      <c r="A5" s="1"/>
      <c r="B5" s="1"/>
      <c r="C5" s="1"/>
      <c r="D5" s="1"/>
      <c r="E5" s="1"/>
      <c r="F5" s="1"/>
    </row>
    <row r="6" spans="1:6" ht="29.1" customHeight="1">
      <c r="A6" s="23" t="s">
        <v>1</v>
      </c>
      <c r="B6" s="23"/>
      <c r="C6" s="24" t="s">
        <v>2</v>
      </c>
      <c r="D6" s="24"/>
      <c r="E6" s="24"/>
      <c r="F6" s="24"/>
    </row>
    <row r="7" spans="1:6" ht="29.1" customHeight="1">
      <c r="A7" s="23"/>
      <c r="B7" s="23"/>
      <c r="C7" s="24"/>
      <c r="D7" s="24"/>
      <c r="E7" s="24"/>
      <c r="F7" s="24"/>
    </row>
    <row r="8" spans="1:6" ht="29.1" customHeight="1">
      <c r="A8" s="1"/>
      <c r="B8" s="1"/>
      <c r="C8" s="1"/>
      <c r="D8" s="1"/>
      <c r="E8" s="1"/>
      <c r="F8" s="1"/>
    </row>
    <row r="9" spans="1:6" ht="29.1" customHeight="1">
      <c r="A9" s="23" t="s">
        <v>3</v>
      </c>
      <c r="B9" s="23"/>
      <c r="C9" s="24" t="s">
        <v>4</v>
      </c>
      <c r="D9" s="24"/>
      <c r="E9" s="24"/>
      <c r="F9" s="24"/>
    </row>
    <row r="10" spans="1:6" ht="29.1" customHeight="1">
      <c r="A10" s="23"/>
      <c r="B10" s="23"/>
      <c r="C10" s="24"/>
      <c r="D10" s="24"/>
      <c r="E10" s="24"/>
      <c r="F10" s="24"/>
    </row>
    <row r="11" spans="1:6" ht="29.1" customHeight="1">
      <c r="A11" s="1"/>
      <c r="B11" s="1"/>
      <c r="C11" s="1"/>
      <c r="D11" s="1"/>
      <c r="E11" s="1"/>
      <c r="F11" s="1"/>
    </row>
    <row r="12" spans="1:6" ht="29.1" customHeight="1">
      <c r="A12" s="23" t="s">
        <v>5</v>
      </c>
      <c r="B12" s="23"/>
      <c r="C12" s="24" t="s">
        <v>6</v>
      </c>
      <c r="D12" s="24"/>
      <c r="E12" s="24"/>
      <c r="F12" s="24"/>
    </row>
    <row r="13" spans="1:6" ht="29.1" customHeight="1">
      <c r="A13" s="23"/>
      <c r="B13" s="23"/>
      <c r="C13" s="24"/>
      <c r="D13" s="24"/>
      <c r="E13" s="24"/>
      <c r="F13" s="24"/>
    </row>
    <row r="14" spans="1:6" ht="29.1" customHeight="1">
      <c r="A14" s="1"/>
      <c r="B14" s="1"/>
      <c r="C14" s="1"/>
      <c r="D14" s="1"/>
      <c r="E14" s="1"/>
      <c r="F14" s="1"/>
    </row>
    <row r="15" spans="1:6" ht="29.1" customHeight="1">
      <c r="A15" s="23" t="s">
        <v>7</v>
      </c>
      <c r="B15" s="23"/>
      <c r="C15" s="24" t="s">
        <v>8</v>
      </c>
      <c r="D15" s="24"/>
      <c r="E15" s="24"/>
      <c r="F15" s="24"/>
    </row>
    <row r="16" spans="1:6" ht="29.1" customHeight="1">
      <c r="A16" s="23"/>
      <c r="B16" s="23"/>
      <c r="C16" s="24"/>
      <c r="D16" s="24"/>
      <c r="E16" s="24"/>
      <c r="F16" s="24"/>
    </row>
    <row r="17" spans="1:6" ht="29.1" customHeight="1">
      <c r="A17" s="1"/>
      <c r="B17" s="1"/>
      <c r="C17" s="1"/>
      <c r="D17" s="1"/>
      <c r="E17" s="1"/>
      <c r="F17" s="1"/>
    </row>
    <row r="18" spans="1:6" ht="29.1" customHeight="1">
      <c r="A18" s="23" t="s">
        <v>9</v>
      </c>
      <c r="B18" s="23"/>
      <c r="C18" s="24" t="s">
        <v>10</v>
      </c>
      <c r="D18" s="24"/>
      <c r="E18" s="24"/>
      <c r="F18" s="24"/>
    </row>
    <row r="19" spans="1:6" ht="29.1" customHeight="1">
      <c r="A19" s="23"/>
      <c r="B19" s="23"/>
      <c r="C19" s="24"/>
      <c r="D19" s="24"/>
      <c r="E19" s="24"/>
      <c r="F19" s="24"/>
    </row>
    <row r="20" spans="1:6" ht="29.1" customHeight="1">
      <c r="A20" s="1"/>
      <c r="B20" s="1"/>
      <c r="C20" s="1"/>
      <c r="D20" s="1"/>
      <c r="E20" s="1"/>
      <c r="F20" s="1"/>
    </row>
    <row r="21" spans="1:6" ht="29.1" customHeight="1">
      <c r="A21" s="23" t="s">
        <v>11</v>
      </c>
      <c r="B21" s="23"/>
      <c r="C21" s="24" t="s">
        <v>12</v>
      </c>
      <c r="D21" s="24"/>
      <c r="E21" s="24"/>
      <c r="F21" s="24"/>
    </row>
    <row r="22" spans="1:6" ht="29.1" customHeight="1">
      <c r="A22" s="23"/>
      <c r="B22" s="23"/>
      <c r="C22" s="24"/>
      <c r="D22" s="24"/>
      <c r="E22" s="24"/>
      <c r="F22" s="24"/>
    </row>
    <row r="23" spans="1:6" ht="29.1" customHeight="1">
      <c r="A23" s="1"/>
      <c r="B23" s="1"/>
      <c r="C23" s="1"/>
      <c r="D23" s="1"/>
      <c r="E23" s="1"/>
      <c r="F23" s="1"/>
    </row>
    <row r="24" spans="1:6" ht="29.1" customHeight="1">
      <c r="A24" s="23" t="s">
        <v>13</v>
      </c>
      <c r="B24" s="23"/>
      <c r="C24" s="24" t="s">
        <v>14</v>
      </c>
      <c r="D24" s="24"/>
      <c r="E24" s="24"/>
      <c r="F24" s="24"/>
    </row>
    <row r="25" spans="1:6" ht="29.1" customHeight="1">
      <c r="A25" s="23"/>
      <c r="B25" s="23"/>
      <c r="C25" s="24"/>
      <c r="D25" s="24"/>
      <c r="E25" s="24"/>
      <c r="F25" s="24"/>
    </row>
    <row r="26" spans="1:6" ht="29.1" customHeight="1">
      <c r="A26" s="1"/>
      <c r="B26" s="1"/>
      <c r="C26" s="1"/>
      <c r="D26" s="1"/>
      <c r="E26" s="1"/>
      <c r="F26" s="1"/>
    </row>
    <row r="27" spans="1:6" ht="29.1" customHeight="1">
      <c r="A27" s="23" t="s">
        <v>15</v>
      </c>
      <c r="B27" s="23"/>
      <c r="C27" s="24" t="s">
        <v>81</v>
      </c>
      <c r="D27" s="24"/>
      <c r="E27" s="24"/>
      <c r="F27" s="24"/>
    </row>
    <row r="28" spans="1:6" ht="29.1" customHeight="1">
      <c r="A28" s="23"/>
      <c r="B28" s="23"/>
      <c r="C28" s="24"/>
      <c r="D28" s="24"/>
      <c r="E28" s="24"/>
      <c r="F28" s="24"/>
    </row>
    <row r="29" spans="1:6" ht="29.1" customHeight="1">
      <c r="A29" s="1"/>
      <c r="B29" s="1"/>
      <c r="C29" s="1"/>
      <c r="D29" s="1"/>
      <c r="E29" s="1"/>
      <c r="F29" s="1"/>
    </row>
    <row r="30" spans="1:6" ht="29.1" customHeight="1">
      <c r="A30" s="23" t="s">
        <v>16</v>
      </c>
      <c r="B30" s="23"/>
      <c r="C30" s="24" t="s">
        <v>17</v>
      </c>
      <c r="D30" s="24"/>
      <c r="E30" s="24"/>
      <c r="F30" s="24"/>
    </row>
    <row r="31" spans="1:6" ht="29.1" customHeight="1">
      <c r="A31" s="23"/>
      <c r="B31" s="23"/>
      <c r="C31" s="24"/>
      <c r="D31" s="24"/>
      <c r="E31" s="24"/>
      <c r="F31" s="24"/>
    </row>
    <row r="32" spans="1:6" ht="29.1" customHeight="1">
      <c r="A32" s="1"/>
      <c r="B32" s="1"/>
      <c r="C32" s="1"/>
      <c r="D32" s="1"/>
      <c r="E32" s="1"/>
      <c r="F32" s="1"/>
    </row>
    <row r="33" spans="1:6" ht="29.1" customHeight="1">
      <c r="A33" s="23" t="s">
        <v>18</v>
      </c>
      <c r="B33" s="23"/>
      <c r="C33" s="24" t="s">
        <v>19</v>
      </c>
      <c r="D33" s="24"/>
      <c r="E33" s="24"/>
      <c r="F33" s="24"/>
    </row>
    <row r="34" spans="1:6" ht="29.1" customHeight="1">
      <c r="A34" s="23"/>
      <c r="B34" s="23"/>
      <c r="C34" s="24"/>
      <c r="D34" s="24"/>
      <c r="E34" s="24"/>
      <c r="F34" s="24"/>
    </row>
    <row r="35" spans="1:6" ht="29.1" customHeight="1">
      <c r="A35" s="1"/>
      <c r="B35" s="1"/>
      <c r="C35" s="1"/>
      <c r="D35" s="1"/>
      <c r="E35" s="1"/>
      <c r="F35" s="1"/>
    </row>
    <row r="36" spans="1:6" ht="29.1" customHeight="1">
      <c r="A36" s="23" t="s">
        <v>20</v>
      </c>
      <c r="B36" s="23"/>
      <c r="C36" s="24" t="s">
        <v>21</v>
      </c>
      <c r="D36" s="24"/>
      <c r="E36" s="24"/>
      <c r="F36" s="24"/>
    </row>
    <row r="37" spans="1:6" ht="29.1" customHeight="1">
      <c r="A37" s="23"/>
      <c r="B37" s="23"/>
      <c r="C37" s="24"/>
      <c r="D37" s="24"/>
      <c r="E37" s="24"/>
      <c r="F37" s="24"/>
    </row>
    <row r="38" spans="1:6" ht="29.1" customHeight="1">
      <c r="A38" s="1"/>
      <c r="B38" s="1"/>
      <c r="C38" s="1"/>
      <c r="D38" s="1"/>
      <c r="E38" s="1"/>
      <c r="F38" s="1"/>
    </row>
    <row r="39" spans="1:6" ht="24" customHeight="1">
      <c r="A39" s="1"/>
      <c r="B39" s="1"/>
      <c r="C39" s="1"/>
      <c r="D39" s="1"/>
      <c r="E39" s="1"/>
      <c r="F39" s="1"/>
    </row>
    <row r="40" spans="1:6" ht="24" customHeight="1">
      <c r="A40" s="1"/>
      <c r="B40" s="1"/>
      <c r="C40" s="1"/>
      <c r="D40" s="1"/>
      <c r="E40" s="1"/>
      <c r="F40" s="1"/>
    </row>
  </sheetData>
  <mergeCells count="24">
    <mergeCell ref="A30:B31"/>
    <mergeCell ref="C30:F31"/>
    <mergeCell ref="A33:B34"/>
    <mergeCell ref="C33:F34"/>
    <mergeCell ref="A36:B37"/>
    <mergeCell ref="C36:F37"/>
    <mergeCell ref="A21:B22"/>
    <mergeCell ref="C21:F22"/>
    <mergeCell ref="A24:B25"/>
    <mergeCell ref="C24:F25"/>
    <mergeCell ref="A27:B28"/>
    <mergeCell ref="C27:F28"/>
    <mergeCell ref="A12:B13"/>
    <mergeCell ref="C12:F13"/>
    <mergeCell ref="A15:B16"/>
    <mergeCell ref="C15:F16"/>
    <mergeCell ref="A18:B19"/>
    <mergeCell ref="C18:F19"/>
    <mergeCell ref="A1:F2"/>
    <mergeCell ref="A3:F4"/>
    <mergeCell ref="A6:B7"/>
    <mergeCell ref="C6:F7"/>
    <mergeCell ref="A9:B10"/>
    <mergeCell ref="C9:F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6"/>
  <sheetViews>
    <sheetView showGridLines="0" workbookViewId="0"/>
  </sheetViews>
  <sheetFormatPr defaultRowHeight="14.25"/>
  <cols>
    <col min="1" max="1" width="29" customWidth="1"/>
    <col min="2" max="3" width="20" customWidth="1"/>
    <col min="4" max="4" width="22" customWidth="1"/>
    <col min="5" max="5" width="28" customWidth="1"/>
    <col min="6" max="6" width="22" customWidth="1"/>
  </cols>
  <sheetData>
    <row r="1" spans="1:6" ht="26.1" customHeight="1">
      <c r="A1" s="21" t="s">
        <v>22</v>
      </c>
      <c r="B1" s="21"/>
      <c r="C1" s="21"/>
      <c r="D1" s="21"/>
      <c r="E1" s="21"/>
      <c r="F1" s="21"/>
    </row>
    <row r="2" spans="1:6" ht="26.1" customHeight="1">
      <c r="A2" s="21"/>
      <c r="B2" s="21"/>
      <c r="C2" s="21"/>
      <c r="D2" s="21"/>
      <c r="E2" s="21"/>
      <c r="F2" s="21"/>
    </row>
    <row r="3" spans="1:6" ht="24" customHeight="1">
      <c r="A3" s="22" t="s">
        <v>23</v>
      </c>
      <c r="B3" s="22"/>
      <c r="C3" s="22"/>
      <c r="D3" s="22"/>
      <c r="E3" s="22"/>
      <c r="F3" s="22"/>
    </row>
    <row r="4" spans="1:6" ht="32.1" customHeight="1">
      <c r="A4" s="22"/>
      <c r="B4" s="22"/>
      <c r="C4" s="22"/>
      <c r="D4" s="22"/>
      <c r="E4" s="22"/>
      <c r="F4" s="22"/>
    </row>
    <row r="5" spans="1:6" ht="24" customHeight="1">
      <c r="A5" s="1"/>
      <c r="B5" s="1"/>
      <c r="C5" s="1"/>
      <c r="D5" s="1"/>
      <c r="E5" s="1"/>
      <c r="F5" s="1"/>
    </row>
    <row r="6" spans="1:6" ht="24.95" customHeight="1">
      <c r="A6" s="25" t="s">
        <v>24</v>
      </c>
      <c r="B6" s="25"/>
      <c r="C6" s="25"/>
      <c r="D6" s="26"/>
      <c r="E6" s="26"/>
      <c r="F6" s="26"/>
    </row>
    <row r="7" spans="1:6" ht="24.95" customHeight="1">
      <c r="A7" s="25"/>
      <c r="B7" s="25"/>
      <c r="C7" s="25"/>
      <c r="D7" s="26"/>
      <c r="E7" s="26"/>
      <c r="F7" s="26"/>
    </row>
    <row r="8" spans="1:6" ht="24.95" customHeight="1">
      <c r="A8" s="25" t="s">
        <v>25</v>
      </c>
      <c r="B8" s="25"/>
      <c r="C8" s="25"/>
      <c r="D8" s="26"/>
      <c r="E8" s="26"/>
      <c r="F8" s="26"/>
    </row>
    <row r="9" spans="1:6" ht="24.95" customHeight="1">
      <c r="A9" s="25"/>
      <c r="B9" s="25"/>
      <c r="C9" s="25"/>
      <c r="D9" s="26"/>
      <c r="E9" s="26"/>
      <c r="F9" s="26"/>
    </row>
    <row r="10" spans="1:6" ht="24.95" customHeight="1">
      <c r="A10" s="25" t="s">
        <v>26</v>
      </c>
      <c r="B10" s="25"/>
      <c r="C10" s="25"/>
      <c r="D10" s="27"/>
      <c r="E10" s="27"/>
      <c r="F10" s="27"/>
    </row>
    <row r="11" spans="1:6" ht="24.95" customHeight="1">
      <c r="A11" s="25"/>
      <c r="B11" s="25"/>
      <c r="C11" s="25"/>
      <c r="D11" s="27"/>
      <c r="E11" s="27"/>
      <c r="F11" s="27"/>
    </row>
    <row r="12" spans="1:6" ht="24.95" customHeight="1">
      <c r="A12" s="25" t="s">
        <v>27</v>
      </c>
      <c r="B12" s="25"/>
      <c r="C12" s="25"/>
      <c r="D12" s="27"/>
      <c r="E12" s="27"/>
      <c r="F12" s="27"/>
    </row>
    <row r="13" spans="1:6" ht="24.95" customHeight="1">
      <c r="A13" s="25"/>
      <c r="B13" s="25"/>
      <c r="C13" s="25"/>
      <c r="D13" s="27"/>
      <c r="E13" s="27"/>
      <c r="F13" s="27"/>
    </row>
    <row r="14" spans="1:6" ht="24.95" customHeight="1">
      <c r="A14" s="25" t="s">
        <v>28</v>
      </c>
      <c r="B14" s="25"/>
      <c r="C14" s="25"/>
      <c r="D14" s="28"/>
      <c r="E14" s="28"/>
      <c r="F14" s="28"/>
    </row>
    <row r="15" spans="1:6" ht="24.95" customHeight="1">
      <c r="A15" s="25"/>
      <c r="B15" s="25"/>
      <c r="C15" s="25"/>
      <c r="D15" s="28"/>
      <c r="E15" s="28"/>
      <c r="F15" s="28"/>
    </row>
    <row r="16" spans="1:6" ht="24.95" customHeight="1">
      <c r="A16" s="25" t="s">
        <v>29</v>
      </c>
      <c r="B16" s="25"/>
      <c r="C16" s="25"/>
      <c r="D16" s="28"/>
      <c r="E16" s="28"/>
      <c r="F16" s="28"/>
    </row>
    <row r="17" spans="1:6" ht="24.95" customHeight="1">
      <c r="A17" s="25"/>
      <c r="B17" s="25"/>
      <c r="C17" s="25"/>
      <c r="D17" s="28"/>
      <c r="E17" s="28"/>
      <c r="F17" s="28"/>
    </row>
    <row r="18" spans="1:6" ht="24.95" customHeight="1">
      <c r="A18" s="25" t="s">
        <v>30</v>
      </c>
      <c r="B18" s="25"/>
      <c r="C18" s="25"/>
      <c r="D18" s="28"/>
      <c r="E18" s="28"/>
      <c r="F18" s="28"/>
    </row>
    <row r="19" spans="1:6" ht="24.95" customHeight="1">
      <c r="A19" s="25"/>
      <c r="B19" s="25"/>
      <c r="C19" s="25"/>
      <c r="D19" s="28"/>
      <c r="E19" s="28"/>
      <c r="F19" s="28"/>
    </row>
    <row r="20" spans="1:6" ht="24.95" customHeight="1">
      <c r="A20" s="25" t="s">
        <v>31</v>
      </c>
      <c r="B20" s="25"/>
      <c r="C20" s="25"/>
      <c r="D20" s="28"/>
      <c r="E20" s="28"/>
      <c r="F20" s="28"/>
    </row>
    <row r="21" spans="1:6" ht="24.95" customHeight="1">
      <c r="A21" s="25"/>
      <c r="B21" s="25"/>
      <c r="C21" s="25"/>
      <c r="D21" s="28"/>
      <c r="E21" s="28"/>
      <c r="F21" s="28"/>
    </row>
    <row r="22" spans="1:6" ht="24" customHeight="1">
      <c r="A22" s="1"/>
      <c r="B22" s="1"/>
      <c r="C22" s="1"/>
      <c r="D22" s="1"/>
      <c r="E22" s="1"/>
      <c r="F22" s="1"/>
    </row>
    <row r="23" spans="1:6" ht="24" customHeight="1">
      <c r="A23" s="29" t="s">
        <v>32</v>
      </c>
      <c r="B23" s="29"/>
      <c r="C23" s="29"/>
      <c r="D23" s="29"/>
      <c r="E23" s="29"/>
      <c r="F23" s="29"/>
    </row>
    <row r="24" spans="1:6" ht="24" customHeight="1">
      <c r="A24" s="29"/>
      <c r="B24" s="29"/>
      <c r="C24" s="29"/>
      <c r="D24" s="29"/>
      <c r="E24" s="29"/>
      <c r="F24" s="29"/>
    </row>
    <row r="25" spans="1:6" ht="24" customHeight="1">
      <c r="A25" s="29"/>
      <c r="B25" s="29"/>
      <c r="C25" s="29"/>
      <c r="D25" s="29"/>
      <c r="E25" s="29"/>
      <c r="F25" s="29"/>
    </row>
    <row r="26" spans="1:6" ht="24" customHeight="1">
      <c r="A26" s="29"/>
      <c r="B26" s="29"/>
      <c r="C26" s="29"/>
      <c r="D26" s="29"/>
      <c r="E26" s="29"/>
      <c r="F26" s="29"/>
    </row>
    <row r="27" spans="1:6" ht="24" customHeight="1">
      <c r="A27" s="29"/>
      <c r="B27" s="29"/>
      <c r="C27" s="29"/>
      <c r="D27" s="29"/>
      <c r="E27" s="29"/>
      <c r="F27" s="29"/>
    </row>
    <row r="28" spans="1:6" ht="24" customHeight="1">
      <c r="A28" s="29"/>
      <c r="B28" s="29"/>
      <c r="C28" s="29"/>
      <c r="D28" s="29"/>
      <c r="E28" s="29"/>
      <c r="F28" s="29"/>
    </row>
    <row r="29" spans="1:6" ht="24" customHeight="1">
      <c r="A29" s="1"/>
      <c r="B29" s="1"/>
      <c r="C29" s="1"/>
      <c r="D29" s="1"/>
      <c r="E29" s="1"/>
      <c r="F29" s="1"/>
    </row>
    <row r="30" spans="1:6" ht="24" customHeight="1">
      <c r="A30" s="1"/>
      <c r="B30" s="1"/>
      <c r="C30" s="1"/>
      <c r="D30" s="2" t="str">
        <f>IF(AND(ISNUMBER(D6),IFERROR(D6=INT(D6),FALSE),ISNUMBER(D8),IFERROR(D8=INT(D8),FALSE),D8&gt;=D6,D8-D6&lt;=61,ISNUMBER(D10),ISNUMBER(D12),D12&gt;=0,OR(D14="Posted balance adjusted",D14="Available balance adjusted"),D16="Yes",D18="Yes",D20&lt;&gt;""),"OK","PENDING")</f>
        <v>PENDING</v>
      </c>
      <c r="E30" s="2"/>
      <c r="F30" s="2"/>
    </row>
    <row r="31" spans="1:6" ht="24" customHeight="1">
      <c r="A31" s="1"/>
      <c r="B31" s="1"/>
      <c r="C31" s="1"/>
      <c r="D31" s="2"/>
      <c r="E31" s="2"/>
      <c r="F31" s="2"/>
    </row>
    <row r="32" spans="1:6" ht="24" customHeight="1">
      <c r="A32" s="1"/>
      <c r="B32" s="1"/>
      <c r="C32" s="1"/>
      <c r="D32" s="1"/>
      <c r="E32" s="1"/>
      <c r="F32" s="1"/>
    </row>
    <row r="33" spans="1:6" ht="24" customHeight="1">
      <c r="A33" s="1"/>
      <c r="B33" s="1"/>
      <c r="C33" s="1"/>
      <c r="D33" s="1"/>
      <c r="E33" s="1"/>
      <c r="F33" s="1"/>
    </row>
    <row r="34" spans="1:6" ht="24" customHeight="1">
      <c r="A34" s="1"/>
      <c r="B34" s="1"/>
      <c r="C34" s="1"/>
      <c r="D34" s="1"/>
      <c r="E34" s="1"/>
      <c r="F34" s="1"/>
    </row>
    <row r="35" spans="1:6" ht="24" customHeight="1">
      <c r="A35" s="1"/>
      <c r="B35" s="1"/>
      <c r="C35" s="1"/>
      <c r="D35" s="1"/>
      <c r="E35" s="1"/>
      <c r="F35" s="1"/>
    </row>
    <row r="36" spans="1:6" ht="24" customHeight="1">
      <c r="A36" s="1"/>
      <c r="B36" s="1"/>
      <c r="C36" s="1"/>
      <c r="D36" s="1"/>
      <c r="E36" s="1"/>
      <c r="F36" s="1"/>
    </row>
  </sheetData>
  <mergeCells count="19">
    <mergeCell ref="A23:F28"/>
    <mergeCell ref="A16:C17"/>
    <mergeCell ref="D16:F17"/>
    <mergeCell ref="A18:C19"/>
    <mergeCell ref="D18:F19"/>
    <mergeCell ref="A20:C21"/>
    <mergeCell ref="D20:F21"/>
    <mergeCell ref="A10:C11"/>
    <mergeCell ref="D10:F11"/>
    <mergeCell ref="A12:C13"/>
    <mergeCell ref="D12:F13"/>
    <mergeCell ref="A14:C15"/>
    <mergeCell ref="D14:F15"/>
    <mergeCell ref="A1:F2"/>
    <mergeCell ref="A3:F4"/>
    <mergeCell ref="A6:C7"/>
    <mergeCell ref="D6:F7"/>
    <mergeCell ref="A8:C9"/>
    <mergeCell ref="D8:F9"/>
  </mergeCells>
  <dataValidations count="2">
    <dataValidation type="list" sqref="D14" xr:uid="{00000000-0002-0000-0100-000000000000}">
      <formula1>"Posted balance adjusted,Available balance adjusted"</formula1>
    </dataValidation>
    <dataValidation type="list" sqref="D16 D18" xr:uid="{00000000-0002-0000-0100-000001000000}">
      <formula1>"Yes,No"</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3"/>
  <sheetViews>
    <sheetView showGridLines="0" workbookViewId="0"/>
  </sheetViews>
  <sheetFormatPr defaultRowHeight="14.25"/>
  <cols>
    <col min="1" max="1" width="15" customWidth="1"/>
    <col min="2" max="2" width="32" customWidth="1"/>
    <col min="3" max="3" width="18" customWidth="1"/>
    <col min="4" max="4" width="14" customWidth="1"/>
    <col min="5" max="5" width="16" customWidth="1"/>
    <col min="6" max="6" width="17" customWidth="1"/>
    <col min="7" max="7" width="18" customWidth="1"/>
    <col min="8" max="8" width="39" customWidth="1"/>
    <col min="9" max="9" width="12" customWidth="1"/>
  </cols>
  <sheetData>
    <row r="1" spans="1:9" ht="26.1" customHeight="1">
      <c r="A1" s="21" t="s">
        <v>33</v>
      </c>
      <c r="B1" s="21"/>
      <c r="C1" s="21"/>
      <c r="D1" s="21"/>
      <c r="E1" s="21"/>
      <c r="F1" s="21"/>
      <c r="G1" s="21"/>
      <c r="H1" s="21"/>
      <c r="I1" s="21"/>
    </row>
    <row r="2" spans="1:9" ht="26.1" customHeight="1">
      <c r="A2" s="21"/>
      <c r="B2" s="21"/>
      <c r="C2" s="21"/>
      <c r="D2" s="21"/>
      <c r="E2" s="21"/>
      <c r="F2" s="21"/>
      <c r="G2" s="21"/>
      <c r="H2" s="21"/>
      <c r="I2" s="21"/>
    </row>
    <row r="3" spans="1:9" ht="24" customHeight="1">
      <c r="A3" s="22" t="s">
        <v>34</v>
      </c>
      <c r="B3" s="22"/>
      <c r="C3" s="22"/>
      <c r="D3" s="22"/>
      <c r="E3" s="22"/>
      <c r="F3" s="22"/>
      <c r="G3" s="22"/>
      <c r="H3" s="22"/>
      <c r="I3" s="22"/>
    </row>
    <row r="4" spans="1:9" ht="32.1" customHeight="1">
      <c r="A4" s="22"/>
      <c r="B4" s="22"/>
      <c r="C4" s="22"/>
      <c r="D4" s="22"/>
      <c r="E4" s="22"/>
      <c r="F4" s="22"/>
      <c r="G4" s="22"/>
      <c r="H4" s="22"/>
      <c r="I4" s="22"/>
    </row>
    <row r="5" spans="1:9" ht="24" customHeight="1">
      <c r="A5" s="1"/>
      <c r="B5" s="1"/>
      <c r="C5" s="1"/>
      <c r="D5" s="1"/>
      <c r="E5" s="1"/>
      <c r="F5" s="1"/>
      <c r="G5" s="1"/>
      <c r="H5" s="1"/>
      <c r="I5" s="1"/>
    </row>
    <row r="6" spans="1:9" ht="24" customHeight="1">
      <c r="A6" s="1"/>
      <c r="B6" s="1"/>
      <c r="C6" s="1"/>
      <c r="D6" s="1"/>
      <c r="E6" s="1"/>
      <c r="F6" s="1"/>
      <c r="G6" s="1"/>
      <c r="H6" s="1"/>
      <c r="I6" s="1"/>
    </row>
    <row r="7" spans="1:9" ht="39.950000000000003" customHeight="1">
      <c r="A7" s="3" t="s">
        <v>35</v>
      </c>
      <c r="B7" s="4" t="s">
        <v>36</v>
      </c>
      <c r="C7" s="4" t="s">
        <v>37</v>
      </c>
      <c r="D7" s="4" t="s">
        <v>38</v>
      </c>
      <c r="E7" s="4" t="s">
        <v>39</v>
      </c>
      <c r="F7" s="4" t="s">
        <v>40</v>
      </c>
      <c r="G7" s="4" t="s">
        <v>41</v>
      </c>
      <c r="H7" s="4" t="s">
        <v>42</v>
      </c>
      <c r="I7" s="5" t="s">
        <v>43</v>
      </c>
    </row>
    <row r="8" spans="1:9" ht="42.95" customHeight="1">
      <c r="A8" s="6"/>
      <c r="B8" s="7"/>
      <c r="C8" s="7"/>
      <c r="D8" s="7"/>
      <c r="E8" s="8"/>
      <c r="F8" s="7"/>
      <c r="G8" s="7"/>
      <c r="H8" s="7"/>
      <c r="I8" s="9" t="str">
        <f>IF(COUNTA(A8:H8)=0,"",IF(F8="Canceled","EXCLUDED",IF(AND(F8="Delayed",D8="In",B8&lt;&gt;"",H8&lt;&gt;""),"DELAYED",IF(AND(ISNUMBER(A8),ISNUMBER(Setup!$D$6),ISNUMBER(Setup!$D$8),A8&gt;=Setup!$D$6,A8&lt;(Setup!$D$8+1),B8&lt;&gt;"",OR(C8="Income",C8="Bill",C8="Living",C8="Transfer",C8="Card payment",C8="Fund bill"),OR(D8="In",D8="Out"),ISNUMBER(E8),E8&gt;=0,OR(F8="Scheduled",F8="Posted"),OR(G8="Verified",G8="Assumed"),H8&lt;&gt;""),"OK","CHECK"))))</f>
        <v/>
      </c>
    </row>
    <row r="9" spans="1:9" ht="42.95" customHeight="1">
      <c r="A9" s="6"/>
      <c r="B9" s="7"/>
      <c r="C9" s="7"/>
      <c r="D9" s="7"/>
      <c r="E9" s="8"/>
      <c r="F9" s="7"/>
      <c r="G9" s="7"/>
      <c r="H9" s="7"/>
      <c r="I9" s="9" t="str">
        <f>IF(COUNTA(A9:H9)=0,"",IF(F9="Canceled","EXCLUDED",IF(AND(F9="Delayed",D9="In",B9&lt;&gt;"",H9&lt;&gt;""),"DELAYED",IF(AND(ISNUMBER(A9),ISNUMBER(Setup!$D$6),ISNUMBER(Setup!$D$8),A9&gt;=Setup!$D$6,A9&lt;(Setup!$D$8+1),B9&lt;&gt;"",OR(C9="Income",C9="Bill",C9="Living",C9="Transfer",C9="Card payment",C9="Fund bill"),OR(D9="In",D9="Out"),ISNUMBER(E9),E9&gt;=0,OR(F9="Scheduled",F9="Posted"),OR(G9="Verified",G9="Assumed"),H9&lt;&gt;""),"OK","CHECK"))))</f>
        <v/>
      </c>
    </row>
    <row r="10" spans="1:9" ht="42.95" customHeight="1">
      <c r="A10" s="6"/>
      <c r="B10" s="7"/>
      <c r="C10" s="7"/>
      <c r="D10" s="7"/>
      <c r="E10" s="8"/>
      <c r="F10" s="7"/>
      <c r="G10" s="7"/>
      <c r="H10" s="7"/>
      <c r="I10" s="9" t="str">
        <f>IF(COUNTA(A10:H10)=0,"",IF(F10="Canceled","EXCLUDED",IF(AND(F10="Delayed",D10="In",B10&lt;&gt;"",H10&lt;&gt;""),"DELAYED",IF(AND(ISNUMBER(A10),ISNUMBER(Setup!$D$6),ISNUMBER(Setup!$D$8),A10&gt;=Setup!$D$6,A10&lt;(Setup!$D$8+1),B10&lt;&gt;"",OR(C10="Income",C10="Bill",C10="Living",C10="Transfer",C10="Card payment",C10="Fund bill"),OR(D10="In",D10="Out"),ISNUMBER(E10),E10&gt;=0,OR(F10="Scheduled",F10="Posted"),OR(G10="Verified",G10="Assumed"),H10&lt;&gt;""),"OK","CHECK"))))</f>
        <v/>
      </c>
    </row>
    <row r="11" spans="1:9" ht="42.95" customHeight="1">
      <c r="A11" s="6"/>
      <c r="B11" s="7"/>
      <c r="C11" s="7"/>
      <c r="D11" s="7"/>
      <c r="E11" s="8"/>
      <c r="F11" s="7"/>
      <c r="G11" s="7"/>
      <c r="H11" s="7"/>
      <c r="I11" s="9" t="str">
        <f>IF(COUNTA(A11:H11)=0,"",IF(F11="Canceled","EXCLUDED",IF(AND(F11="Delayed",D11="In",B11&lt;&gt;"",H11&lt;&gt;""),"DELAYED",IF(AND(ISNUMBER(A11),ISNUMBER(Setup!$D$6),ISNUMBER(Setup!$D$8),A11&gt;=Setup!$D$6,A11&lt;(Setup!$D$8+1),B11&lt;&gt;"",OR(C11="Income",C11="Bill",C11="Living",C11="Transfer",C11="Card payment",C11="Fund bill"),OR(D11="In",D11="Out"),ISNUMBER(E11),E11&gt;=0,OR(F11="Scheduled",F11="Posted"),OR(G11="Verified",G11="Assumed"),H11&lt;&gt;""),"OK","CHECK"))))</f>
        <v/>
      </c>
    </row>
    <row r="12" spans="1:9" ht="42.95" customHeight="1">
      <c r="A12" s="6"/>
      <c r="B12" s="7"/>
      <c r="C12" s="7"/>
      <c r="D12" s="7"/>
      <c r="E12" s="8"/>
      <c r="F12" s="7"/>
      <c r="G12" s="7"/>
      <c r="H12" s="7"/>
      <c r="I12" s="9" t="str">
        <f>IF(COUNTA(A12:H12)=0,"",IF(F12="Canceled","EXCLUDED",IF(AND(F12="Delayed",D12="In",B12&lt;&gt;"",H12&lt;&gt;""),"DELAYED",IF(AND(ISNUMBER(A12),ISNUMBER(Setup!$D$6),ISNUMBER(Setup!$D$8),A12&gt;=Setup!$D$6,A12&lt;(Setup!$D$8+1),B12&lt;&gt;"",OR(C12="Income",C12="Bill",C12="Living",C12="Transfer",C12="Card payment",C12="Fund bill"),OR(D12="In",D12="Out"),ISNUMBER(E12),E12&gt;=0,OR(F12="Scheduled",F12="Posted"),OR(G12="Verified",G12="Assumed"),H12&lt;&gt;""),"OK","CHECK"))))</f>
        <v/>
      </c>
    </row>
    <row r="13" spans="1:9" ht="42.95" customHeight="1">
      <c r="A13" s="6"/>
      <c r="B13" s="7"/>
      <c r="C13" s="7"/>
      <c r="D13" s="7"/>
      <c r="E13" s="8"/>
      <c r="F13" s="7"/>
      <c r="G13" s="7"/>
      <c r="H13" s="7"/>
      <c r="I13" s="9" t="str">
        <f>IF(COUNTA(A13:H13)=0,"",IF(F13="Canceled","EXCLUDED",IF(AND(F13="Delayed",D13="In",B13&lt;&gt;"",H13&lt;&gt;""),"DELAYED",IF(AND(ISNUMBER(A13),ISNUMBER(Setup!$D$6),ISNUMBER(Setup!$D$8),A13&gt;=Setup!$D$6,A13&lt;(Setup!$D$8+1),B13&lt;&gt;"",OR(C13="Income",C13="Bill",C13="Living",C13="Transfer",C13="Card payment",C13="Fund bill"),OR(D13="In",D13="Out"),ISNUMBER(E13),E13&gt;=0,OR(F13="Scheduled",F13="Posted"),OR(G13="Verified",G13="Assumed"),H13&lt;&gt;""),"OK","CHECK"))))</f>
        <v/>
      </c>
    </row>
    <row r="14" spans="1:9" ht="42.95" customHeight="1">
      <c r="A14" s="6"/>
      <c r="B14" s="7"/>
      <c r="C14" s="7"/>
      <c r="D14" s="7"/>
      <c r="E14" s="8"/>
      <c r="F14" s="7"/>
      <c r="G14" s="7"/>
      <c r="H14" s="7"/>
      <c r="I14" s="9" t="str">
        <f>IF(COUNTA(A14:H14)=0,"",IF(F14="Canceled","EXCLUDED",IF(AND(F14="Delayed",D14="In",B14&lt;&gt;"",H14&lt;&gt;""),"DELAYED",IF(AND(ISNUMBER(A14),ISNUMBER(Setup!$D$6),ISNUMBER(Setup!$D$8),A14&gt;=Setup!$D$6,A14&lt;(Setup!$D$8+1),B14&lt;&gt;"",OR(C14="Income",C14="Bill",C14="Living",C14="Transfer",C14="Card payment",C14="Fund bill"),OR(D14="In",D14="Out"),ISNUMBER(E14),E14&gt;=0,OR(F14="Scheduled",F14="Posted"),OR(G14="Verified",G14="Assumed"),H14&lt;&gt;""),"OK","CHECK"))))</f>
        <v/>
      </c>
    </row>
    <row r="15" spans="1:9" ht="42.95" customHeight="1">
      <c r="A15" s="6"/>
      <c r="B15" s="7"/>
      <c r="C15" s="7"/>
      <c r="D15" s="7"/>
      <c r="E15" s="8"/>
      <c r="F15" s="7"/>
      <c r="G15" s="7"/>
      <c r="H15" s="7"/>
      <c r="I15" s="9" t="str">
        <f>IF(COUNTA(A15:H15)=0,"",IF(F15="Canceled","EXCLUDED",IF(AND(F15="Delayed",D15="In",B15&lt;&gt;"",H15&lt;&gt;""),"DELAYED",IF(AND(ISNUMBER(A15),ISNUMBER(Setup!$D$6),ISNUMBER(Setup!$D$8),A15&gt;=Setup!$D$6,A15&lt;(Setup!$D$8+1),B15&lt;&gt;"",OR(C15="Income",C15="Bill",C15="Living",C15="Transfer",C15="Card payment",C15="Fund bill"),OR(D15="In",D15="Out"),ISNUMBER(E15),E15&gt;=0,OR(F15="Scheduled",F15="Posted"),OR(G15="Verified",G15="Assumed"),H15&lt;&gt;""),"OK","CHECK"))))</f>
        <v/>
      </c>
    </row>
    <row r="16" spans="1:9" ht="42.95" customHeight="1">
      <c r="A16" s="6"/>
      <c r="B16" s="7"/>
      <c r="C16" s="7"/>
      <c r="D16" s="7"/>
      <c r="E16" s="8"/>
      <c r="F16" s="7"/>
      <c r="G16" s="7"/>
      <c r="H16" s="7"/>
      <c r="I16" s="9" t="str">
        <f>IF(COUNTA(A16:H16)=0,"",IF(F16="Canceled","EXCLUDED",IF(AND(F16="Delayed",D16="In",B16&lt;&gt;"",H16&lt;&gt;""),"DELAYED",IF(AND(ISNUMBER(A16),ISNUMBER(Setup!$D$6),ISNUMBER(Setup!$D$8),A16&gt;=Setup!$D$6,A16&lt;(Setup!$D$8+1),B16&lt;&gt;"",OR(C16="Income",C16="Bill",C16="Living",C16="Transfer",C16="Card payment",C16="Fund bill"),OR(D16="In",D16="Out"),ISNUMBER(E16),E16&gt;=0,OR(F16="Scheduled",F16="Posted"),OR(G16="Verified",G16="Assumed"),H16&lt;&gt;""),"OK","CHECK"))))</f>
        <v/>
      </c>
    </row>
    <row r="17" spans="1:9" ht="42.95" customHeight="1">
      <c r="A17" s="6"/>
      <c r="B17" s="7"/>
      <c r="C17" s="7"/>
      <c r="D17" s="7"/>
      <c r="E17" s="8"/>
      <c r="F17" s="7"/>
      <c r="G17" s="7"/>
      <c r="H17" s="7"/>
      <c r="I17" s="9" t="str">
        <f>IF(COUNTA(A17:H17)=0,"",IF(F17="Canceled","EXCLUDED",IF(AND(F17="Delayed",D17="In",B17&lt;&gt;"",H17&lt;&gt;""),"DELAYED",IF(AND(ISNUMBER(A17),ISNUMBER(Setup!$D$6),ISNUMBER(Setup!$D$8),A17&gt;=Setup!$D$6,A17&lt;(Setup!$D$8+1),B17&lt;&gt;"",OR(C17="Income",C17="Bill",C17="Living",C17="Transfer",C17="Card payment",C17="Fund bill"),OR(D17="In",D17="Out"),ISNUMBER(E17),E17&gt;=0,OR(F17="Scheduled",F17="Posted"),OR(G17="Verified",G17="Assumed"),H17&lt;&gt;""),"OK","CHECK"))))</f>
        <v/>
      </c>
    </row>
    <row r="18" spans="1:9" ht="42.95" customHeight="1">
      <c r="A18" s="6"/>
      <c r="B18" s="7"/>
      <c r="C18" s="7"/>
      <c r="D18" s="7"/>
      <c r="E18" s="8"/>
      <c r="F18" s="7"/>
      <c r="G18" s="7"/>
      <c r="H18" s="7"/>
      <c r="I18" s="9" t="str">
        <f>IF(COUNTA(A18:H18)=0,"",IF(F18="Canceled","EXCLUDED",IF(AND(F18="Delayed",D18="In",B18&lt;&gt;"",H18&lt;&gt;""),"DELAYED",IF(AND(ISNUMBER(A18),ISNUMBER(Setup!$D$6),ISNUMBER(Setup!$D$8),A18&gt;=Setup!$D$6,A18&lt;(Setup!$D$8+1),B18&lt;&gt;"",OR(C18="Income",C18="Bill",C18="Living",C18="Transfer",C18="Card payment",C18="Fund bill"),OR(D18="In",D18="Out"),ISNUMBER(E18),E18&gt;=0,OR(F18="Scheduled",F18="Posted"),OR(G18="Verified",G18="Assumed"),H18&lt;&gt;""),"OK","CHECK"))))</f>
        <v/>
      </c>
    </row>
    <row r="19" spans="1:9" ht="42.95" customHeight="1">
      <c r="A19" s="6"/>
      <c r="B19" s="7"/>
      <c r="C19" s="7"/>
      <c r="D19" s="7"/>
      <c r="E19" s="8"/>
      <c r="F19" s="7"/>
      <c r="G19" s="7"/>
      <c r="H19" s="7"/>
      <c r="I19" s="9" t="str">
        <f>IF(COUNTA(A19:H19)=0,"",IF(F19="Canceled","EXCLUDED",IF(AND(F19="Delayed",D19="In",B19&lt;&gt;"",H19&lt;&gt;""),"DELAYED",IF(AND(ISNUMBER(A19),ISNUMBER(Setup!$D$6),ISNUMBER(Setup!$D$8),A19&gt;=Setup!$D$6,A19&lt;(Setup!$D$8+1),B19&lt;&gt;"",OR(C19="Income",C19="Bill",C19="Living",C19="Transfer",C19="Card payment",C19="Fund bill"),OR(D19="In",D19="Out"),ISNUMBER(E19),E19&gt;=0,OR(F19="Scheduled",F19="Posted"),OR(G19="Verified",G19="Assumed"),H19&lt;&gt;""),"OK","CHECK"))))</f>
        <v/>
      </c>
    </row>
    <row r="20" spans="1:9" ht="42.95" customHeight="1">
      <c r="A20" s="6"/>
      <c r="B20" s="7"/>
      <c r="C20" s="7"/>
      <c r="D20" s="7"/>
      <c r="E20" s="8"/>
      <c r="F20" s="7"/>
      <c r="G20" s="7"/>
      <c r="H20" s="7"/>
      <c r="I20" s="9" t="str">
        <f>IF(COUNTA(A20:H20)=0,"",IF(F20="Canceled","EXCLUDED",IF(AND(F20="Delayed",D20="In",B20&lt;&gt;"",H20&lt;&gt;""),"DELAYED",IF(AND(ISNUMBER(A20),ISNUMBER(Setup!$D$6),ISNUMBER(Setup!$D$8),A20&gt;=Setup!$D$6,A20&lt;(Setup!$D$8+1),B20&lt;&gt;"",OR(C20="Income",C20="Bill",C20="Living",C20="Transfer",C20="Card payment",C20="Fund bill"),OR(D20="In",D20="Out"),ISNUMBER(E20),E20&gt;=0,OR(F20="Scheduled",F20="Posted"),OR(G20="Verified",G20="Assumed"),H20&lt;&gt;""),"OK","CHECK"))))</f>
        <v/>
      </c>
    </row>
    <row r="21" spans="1:9" ht="42.95" customHeight="1">
      <c r="A21" s="6"/>
      <c r="B21" s="7"/>
      <c r="C21" s="7"/>
      <c r="D21" s="7"/>
      <c r="E21" s="8"/>
      <c r="F21" s="7"/>
      <c r="G21" s="7"/>
      <c r="H21" s="7"/>
      <c r="I21" s="9" t="str">
        <f>IF(COUNTA(A21:H21)=0,"",IF(F21="Canceled","EXCLUDED",IF(AND(F21="Delayed",D21="In",B21&lt;&gt;"",H21&lt;&gt;""),"DELAYED",IF(AND(ISNUMBER(A21),ISNUMBER(Setup!$D$6),ISNUMBER(Setup!$D$8),A21&gt;=Setup!$D$6,A21&lt;(Setup!$D$8+1),B21&lt;&gt;"",OR(C21="Income",C21="Bill",C21="Living",C21="Transfer",C21="Card payment",C21="Fund bill"),OR(D21="In",D21="Out"),ISNUMBER(E21),E21&gt;=0,OR(F21="Scheduled",F21="Posted"),OR(G21="Verified",G21="Assumed"),H21&lt;&gt;""),"OK","CHECK"))))</f>
        <v/>
      </c>
    </row>
    <row r="22" spans="1:9" ht="42.95" customHeight="1">
      <c r="A22" s="6"/>
      <c r="B22" s="7"/>
      <c r="C22" s="7"/>
      <c r="D22" s="7"/>
      <c r="E22" s="8"/>
      <c r="F22" s="7"/>
      <c r="G22" s="7"/>
      <c r="H22" s="7"/>
      <c r="I22" s="9" t="str">
        <f>IF(COUNTA(A22:H22)=0,"",IF(F22="Canceled","EXCLUDED",IF(AND(F22="Delayed",D22="In",B22&lt;&gt;"",H22&lt;&gt;""),"DELAYED",IF(AND(ISNUMBER(A22),ISNUMBER(Setup!$D$6),ISNUMBER(Setup!$D$8),A22&gt;=Setup!$D$6,A22&lt;(Setup!$D$8+1),B22&lt;&gt;"",OR(C22="Income",C22="Bill",C22="Living",C22="Transfer",C22="Card payment",C22="Fund bill"),OR(D22="In",D22="Out"),ISNUMBER(E22),E22&gt;=0,OR(F22="Scheduled",F22="Posted"),OR(G22="Verified",G22="Assumed"),H22&lt;&gt;""),"OK","CHECK"))))</f>
        <v/>
      </c>
    </row>
    <row r="23" spans="1:9" ht="42.95" customHeight="1">
      <c r="A23" s="6"/>
      <c r="B23" s="7"/>
      <c r="C23" s="7"/>
      <c r="D23" s="7"/>
      <c r="E23" s="8"/>
      <c r="F23" s="7"/>
      <c r="G23" s="7"/>
      <c r="H23" s="7"/>
      <c r="I23" s="9" t="str">
        <f>IF(COUNTA(A23:H23)=0,"",IF(F23="Canceled","EXCLUDED",IF(AND(F23="Delayed",D23="In",B23&lt;&gt;"",H23&lt;&gt;""),"DELAYED",IF(AND(ISNUMBER(A23),ISNUMBER(Setup!$D$6),ISNUMBER(Setup!$D$8),A23&gt;=Setup!$D$6,A23&lt;(Setup!$D$8+1),B23&lt;&gt;"",OR(C23="Income",C23="Bill",C23="Living",C23="Transfer",C23="Card payment",C23="Fund bill"),OR(D23="In",D23="Out"),ISNUMBER(E23),E23&gt;=0,OR(F23="Scheduled",F23="Posted"),OR(G23="Verified",G23="Assumed"),H23&lt;&gt;""),"OK","CHECK"))))</f>
        <v/>
      </c>
    </row>
    <row r="24" spans="1:9" ht="42.95" customHeight="1">
      <c r="A24" s="6"/>
      <c r="B24" s="7"/>
      <c r="C24" s="7"/>
      <c r="D24" s="7"/>
      <c r="E24" s="8"/>
      <c r="F24" s="7"/>
      <c r="G24" s="7"/>
      <c r="H24" s="7"/>
      <c r="I24" s="9" t="str">
        <f>IF(COUNTA(A24:H24)=0,"",IF(F24="Canceled","EXCLUDED",IF(AND(F24="Delayed",D24="In",B24&lt;&gt;"",H24&lt;&gt;""),"DELAYED",IF(AND(ISNUMBER(A24),ISNUMBER(Setup!$D$6),ISNUMBER(Setup!$D$8),A24&gt;=Setup!$D$6,A24&lt;(Setup!$D$8+1),B24&lt;&gt;"",OR(C24="Income",C24="Bill",C24="Living",C24="Transfer",C24="Card payment",C24="Fund bill"),OR(D24="In",D24="Out"),ISNUMBER(E24),E24&gt;=0,OR(F24="Scheduled",F24="Posted"),OR(G24="Verified",G24="Assumed"),H24&lt;&gt;""),"OK","CHECK"))))</f>
        <v/>
      </c>
    </row>
    <row r="25" spans="1:9" ht="42.95" customHeight="1">
      <c r="A25" s="6"/>
      <c r="B25" s="7"/>
      <c r="C25" s="7"/>
      <c r="D25" s="7"/>
      <c r="E25" s="8"/>
      <c r="F25" s="7"/>
      <c r="G25" s="7"/>
      <c r="H25" s="7"/>
      <c r="I25" s="9" t="str">
        <f>IF(COUNTA(A25:H25)=0,"",IF(F25="Canceled","EXCLUDED",IF(AND(F25="Delayed",D25="In",B25&lt;&gt;"",H25&lt;&gt;""),"DELAYED",IF(AND(ISNUMBER(A25),ISNUMBER(Setup!$D$6),ISNUMBER(Setup!$D$8),A25&gt;=Setup!$D$6,A25&lt;(Setup!$D$8+1),B25&lt;&gt;"",OR(C25="Income",C25="Bill",C25="Living",C25="Transfer",C25="Card payment",C25="Fund bill"),OR(D25="In",D25="Out"),ISNUMBER(E25),E25&gt;=0,OR(F25="Scheduled",F25="Posted"),OR(G25="Verified",G25="Assumed"),H25&lt;&gt;""),"OK","CHECK"))))</f>
        <v/>
      </c>
    </row>
    <row r="26" spans="1:9" ht="42.95" customHeight="1">
      <c r="A26" s="6"/>
      <c r="B26" s="7"/>
      <c r="C26" s="7"/>
      <c r="D26" s="7"/>
      <c r="E26" s="8"/>
      <c r="F26" s="7"/>
      <c r="G26" s="7"/>
      <c r="H26" s="7"/>
      <c r="I26" s="9" t="str">
        <f>IF(COUNTA(A26:H26)=0,"",IF(F26="Canceled","EXCLUDED",IF(AND(F26="Delayed",D26="In",B26&lt;&gt;"",H26&lt;&gt;""),"DELAYED",IF(AND(ISNUMBER(A26),ISNUMBER(Setup!$D$6),ISNUMBER(Setup!$D$8),A26&gt;=Setup!$D$6,A26&lt;(Setup!$D$8+1),B26&lt;&gt;"",OR(C26="Income",C26="Bill",C26="Living",C26="Transfer",C26="Card payment",C26="Fund bill"),OR(D26="In",D26="Out"),ISNUMBER(E26),E26&gt;=0,OR(F26="Scheduled",F26="Posted"),OR(G26="Verified",G26="Assumed"),H26&lt;&gt;""),"OK","CHECK"))))</f>
        <v/>
      </c>
    </row>
    <row r="27" spans="1:9" ht="42.95" customHeight="1">
      <c r="A27" s="6"/>
      <c r="B27" s="7"/>
      <c r="C27" s="7"/>
      <c r="D27" s="7"/>
      <c r="E27" s="8"/>
      <c r="F27" s="7"/>
      <c r="G27" s="7"/>
      <c r="H27" s="7"/>
      <c r="I27" s="9" t="str">
        <f>IF(COUNTA(A27:H27)=0,"",IF(F27="Canceled","EXCLUDED",IF(AND(F27="Delayed",D27="In",B27&lt;&gt;"",H27&lt;&gt;""),"DELAYED",IF(AND(ISNUMBER(A27),ISNUMBER(Setup!$D$6),ISNUMBER(Setup!$D$8),A27&gt;=Setup!$D$6,A27&lt;(Setup!$D$8+1),B27&lt;&gt;"",OR(C27="Income",C27="Bill",C27="Living",C27="Transfer",C27="Card payment",C27="Fund bill"),OR(D27="In",D27="Out"),ISNUMBER(E27),E27&gt;=0,OR(F27="Scheduled",F27="Posted"),OR(G27="Verified",G27="Assumed"),H27&lt;&gt;""),"OK","CHECK"))))</f>
        <v/>
      </c>
    </row>
    <row r="28" spans="1:9" ht="42.95" customHeight="1">
      <c r="A28" s="6"/>
      <c r="B28" s="7"/>
      <c r="C28" s="7"/>
      <c r="D28" s="7"/>
      <c r="E28" s="8"/>
      <c r="F28" s="7"/>
      <c r="G28" s="7"/>
      <c r="H28" s="7"/>
      <c r="I28" s="9" t="str">
        <f>IF(COUNTA(A28:H28)=0,"",IF(F28="Canceled","EXCLUDED",IF(AND(F28="Delayed",D28="In",B28&lt;&gt;"",H28&lt;&gt;""),"DELAYED",IF(AND(ISNUMBER(A28),ISNUMBER(Setup!$D$6),ISNUMBER(Setup!$D$8),A28&gt;=Setup!$D$6,A28&lt;(Setup!$D$8+1),B28&lt;&gt;"",OR(C28="Income",C28="Bill",C28="Living",C28="Transfer",C28="Card payment",C28="Fund bill"),OR(D28="In",D28="Out"),ISNUMBER(E28),E28&gt;=0,OR(F28="Scheduled",F28="Posted"),OR(G28="Verified",G28="Assumed"),H28&lt;&gt;""),"OK","CHECK"))))</f>
        <v/>
      </c>
    </row>
    <row r="29" spans="1:9" ht="42.95" customHeight="1">
      <c r="A29" s="6"/>
      <c r="B29" s="7"/>
      <c r="C29" s="7"/>
      <c r="D29" s="7"/>
      <c r="E29" s="8"/>
      <c r="F29" s="7"/>
      <c r="G29" s="7"/>
      <c r="H29" s="7"/>
      <c r="I29" s="9" t="str">
        <f>IF(COUNTA(A29:H29)=0,"",IF(F29="Canceled","EXCLUDED",IF(AND(F29="Delayed",D29="In",B29&lt;&gt;"",H29&lt;&gt;""),"DELAYED",IF(AND(ISNUMBER(A29),ISNUMBER(Setup!$D$6),ISNUMBER(Setup!$D$8),A29&gt;=Setup!$D$6,A29&lt;(Setup!$D$8+1),B29&lt;&gt;"",OR(C29="Income",C29="Bill",C29="Living",C29="Transfer",C29="Card payment",C29="Fund bill"),OR(D29="In",D29="Out"),ISNUMBER(E29),E29&gt;=0,OR(F29="Scheduled",F29="Posted"),OR(G29="Verified",G29="Assumed"),H29&lt;&gt;""),"OK","CHECK"))))</f>
        <v/>
      </c>
    </row>
    <row r="30" spans="1:9" ht="42.95" customHeight="1">
      <c r="A30" s="6"/>
      <c r="B30" s="7"/>
      <c r="C30" s="7"/>
      <c r="D30" s="7"/>
      <c r="E30" s="8"/>
      <c r="F30" s="7"/>
      <c r="G30" s="7"/>
      <c r="H30" s="7"/>
      <c r="I30" s="9" t="str">
        <f>IF(COUNTA(A30:H30)=0,"",IF(F30="Canceled","EXCLUDED",IF(AND(F30="Delayed",D30="In",B30&lt;&gt;"",H30&lt;&gt;""),"DELAYED",IF(AND(ISNUMBER(A30),ISNUMBER(Setup!$D$6),ISNUMBER(Setup!$D$8),A30&gt;=Setup!$D$6,A30&lt;(Setup!$D$8+1),B30&lt;&gt;"",OR(C30="Income",C30="Bill",C30="Living",C30="Transfer",C30="Card payment",C30="Fund bill"),OR(D30="In",D30="Out"),ISNUMBER(E30),E30&gt;=0,OR(F30="Scheduled",F30="Posted"),OR(G30="Verified",G30="Assumed"),H30&lt;&gt;""),"OK","CHECK"))))</f>
        <v/>
      </c>
    </row>
    <row r="31" spans="1:9" ht="42.95" customHeight="1">
      <c r="A31" s="6"/>
      <c r="B31" s="7"/>
      <c r="C31" s="7"/>
      <c r="D31" s="7"/>
      <c r="E31" s="8"/>
      <c r="F31" s="7"/>
      <c r="G31" s="7"/>
      <c r="H31" s="7"/>
      <c r="I31" s="9" t="str">
        <f>IF(COUNTA(A31:H31)=0,"",IF(F31="Canceled","EXCLUDED",IF(AND(F31="Delayed",D31="In",B31&lt;&gt;"",H31&lt;&gt;""),"DELAYED",IF(AND(ISNUMBER(A31),ISNUMBER(Setup!$D$6),ISNUMBER(Setup!$D$8),A31&gt;=Setup!$D$6,A31&lt;(Setup!$D$8+1),B31&lt;&gt;"",OR(C31="Income",C31="Bill",C31="Living",C31="Transfer",C31="Card payment",C31="Fund bill"),OR(D31="In",D31="Out"),ISNUMBER(E31),E31&gt;=0,OR(F31="Scheduled",F31="Posted"),OR(G31="Verified",G31="Assumed"),H31&lt;&gt;""),"OK","CHECK"))))</f>
        <v/>
      </c>
    </row>
    <row r="32" spans="1:9" ht="42.95" customHeight="1">
      <c r="A32" s="6"/>
      <c r="B32" s="7"/>
      <c r="C32" s="7"/>
      <c r="D32" s="7"/>
      <c r="E32" s="8"/>
      <c r="F32" s="7"/>
      <c r="G32" s="7"/>
      <c r="H32" s="7"/>
      <c r="I32" s="9" t="str">
        <f>IF(COUNTA(A32:H32)=0,"",IF(F32="Canceled","EXCLUDED",IF(AND(F32="Delayed",D32="In",B32&lt;&gt;"",H32&lt;&gt;""),"DELAYED",IF(AND(ISNUMBER(A32),ISNUMBER(Setup!$D$6),ISNUMBER(Setup!$D$8),A32&gt;=Setup!$D$6,A32&lt;(Setup!$D$8+1),B32&lt;&gt;"",OR(C32="Income",C32="Bill",C32="Living",C32="Transfer",C32="Card payment",C32="Fund bill"),OR(D32="In",D32="Out"),ISNUMBER(E32),E32&gt;=0,OR(F32="Scheduled",F32="Posted"),OR(G32="Verified",G32="Assumed"),H32&lt;&gt;""),"OK","CHECK"))))</f>
        <v/>
      </c>
    </row>
    <row r="33" spans="1:9" ht="42.95" customHeight="1">
      <c r="A33" s="6"/>
      <c r="B33" s="7"/>
      <c r="C33" s="7"/>
      <c r="D33" s="7"/>
      <c r="E33" s="8"/>
      <c r="F33" s="7"/>
      <c r="G33" s="7"/>
      <c r="H33" s="7"/>
      <c r="I33" s="9" t="str">
        <f>IF(COUNTA(A33:H33)=0,"",IF(F33="Canceled","EXCLUDED",IF(AND(F33="Delayed",D33="In",B33&lt;&gt;"",H33&lt;&gt;""),"DELAYED",IF(AND(ISNUMBER(A33),ISNUMBER(Setup!$D$6),ISNUMBER(Setup!$D$8),A33&gt;=Setup!$D$6,A33&lt;(Setup!$D$8+1),B33&lt;&gt;"",OR(C33="Income",C33="Bill",C33="Living",C33="Transfer",C33="Card payment",C33="Fund bill"),OR(D33="In",D33="Out"),ISNUMBER(E33),E33&gt;=0,OR(F33="Scheduled",F33="Posted"),OR(G33="Verified",G33="Assumed"),H33&lt;&gt;""),"OK","CHECK"))))</f>
        <v/>
      </c>
    </row>
    <row r="34" spans="1:9" ht="42.95" customHeight="1">
      <c r="A34" s="6"/>
      <c r="B34" s="7"/>
      <c r="C34" s="7"/>
      <c r="D34" s="7"/>
      <c r="E34" s="8"/>
      <c r="F34" s="7"/>
      <c r="G34" s="7"/>
      <c r="H34" s="7"/>
      <c r="I34" s="9" t="str">
        <f>IF(COUNTA(A34:H34)=0,"",IF(F34="Canceled","EXCLUDED",IF(AND(F34="Delayed",D34="In",B34&lt;&gt;"",H34&lt;&gt;""),"DELAYED",IF(AND(ISNUMBER(A34),ISNUMBER(Setup!$D$6),ISNUMBER(Setup!$D$8),A34&gt;=Setup!$D$6,A34&lt;(Setup!$D$8+1),B34&lt;&gt;"",OR(C34="Income",C34="Bill",C34="Living",C34="Transfer",C34="Card payment",C34="Fund bill"),OR(D34="In",D34="Out"),ISNUMBER(E34),E34&gt;=0,OR(F34="Scheduled",F34="Posted"),OR(G34="Verified",G34="Assumed"),H34&lt;&gt;""),"OK","CHECK"))))</f>
        <v/>
      </c>
    </row>
    <row r="35" spans="1:9" ht="42.95" customHeight="1">
      <c r="A35" s="6"/>
      <c r="B35" s="7"/>
      <c r="C35" s="7"/>
      <c r="D35" s="7"/>
      <c r="E35" s="8"/>
      <c r="F35" s="7"/>
      <c r="G35" s="7"/>
      <c r="H35" s="7"/>
      <c r="I35" s="9" t="str">
        <f>IF(COUNTA(A35:H35)=0,"",IF(F35="Canceled","EXCLUDED",IF(AND(F35="Delayed",D35="In",B35&lt;&gt;"",H35&lt;&gt;""),"DELAYED",IF(AND(ISNUMBER(A35),ISNUMBER(Setup!$D$6),ISNUMBER(Setup!$D$8),A35&gt;=Setup!$D$6,A35&lt;(Setup!$D$8+1),B35&lt;&gt;"",OR(C35="Income",C35="Bill",C35="Living",C35="Transfer",C35="Card payment",C35="Fund bill"),OR(D35="In",D35="Out"),ISNUMBER(E35),E35&gt;=0,OR(F35="Scheduled",F35="Posted"),OR(G35="Verified",G35="Assumed"),H35&lt;&gt;""),"OK","CHECK"))))</f>
        <v/>
      </c>
    </row>
    <row r="36" spans="1:9" ht="42.95" customHeight="1">
      <c r="A36" s="6"/>
      <c r="B36" s="7"/>
      <c r="C36" s="7"/>
      <c r="D36" s="7"/>
      <c r="E36" s="8"/>
      <c r="F36" s="7"/>
      <c r="G36" s="7"/>
      <c r="H36" s="7"/>
      <c r="I36" s="9" t="str">
        <f>IF(COUNTA(A36:H36)=0,"",IF(F36="Canceled","EXCLUDED",IF(AND(F36="Delayed",D36="In",B36&lt;&gt;"",H36&lt;&gt;""),"DELAYED",IF(AND(ISNUMBER(A36),ISNUMBER(Setup!$D$6),ISNUMBER(Setup!$D$8),A36&gt;=Setup!$D$6,A36&lt;(Setup!$D$8+1),B36&lt;&gt;"",OR(C36="Income",C36="Bill",C36="Living",C36="Transfer",C36="Card payment",C36="Fund bill"),OR(D36="In",D36="Out"),ISNUMBER(E36),E36&gt;=0,OR(F36="Scheduled",F36="Posted"),OR(G36="Verified",G36="Assumed"),H36&lt;&gt;""),"OK","CHECK"))))</f>
        <v/>
      </c>
    </row>
    <row r="37" spans="1:9" ht="42.95" customHeight="1">
      <c r="A37" s="6"/>
      <c r="B37" s="7"/>
      <c r="C37" s="7"/>
      <c r="D37" s="7"/>
      <c r="E37" s="8"/>
      <c r="F37" s="7"/>
      <c r="G37" s="7"/>
      <c r="H37" s="7"/>
      <c r="I37" s="9" t="str">
        <f>IF(COUNTA(A37:H37)=0,"",IF(F37="Canceled","EXCLUDED",IF(AND(F37="Delayed",D37="In",B37&lt;&gt;"",H37&lt;&gt;""),"DELAYED",IF(AND(ISNUMBER(A37),ISNUMBER(Setup!$D$6),ISNUMBER(Setup!$D$8),A37&gt;=Setup!$D$6,A37&lt;(Setup!$D$8+1),B37&lt;&gt;"",OR(C37="Income",C37="Bill",C37="Living",C37="Transfer",C37="Card payment",C37="Fund bill"),OR(D37="In",D37="Out"),ISNUMBER(E37),E37&gt;=0,OR(F37="Scheduled",F37="Posted"),OR(G37="Verified",G37="Assumed"),H37&lt;&gt;""),"OK","CHECK"))))</f>
        <v/>
      </c>
    </row>
    <row r="38" spans="1:9" ht="42.95" customHeight="1">
      <c r="A38" s="6"/>
      <c r="B38" s="7"/>
      <c r="C38" s="7"/>
      <c r="D38" s="7"/>
      <c r="E38" s="8"/>
      <c r="F38" s="7"/>
      <c r="G38" s="7"/>
      <c r="H38" s="7"/>
      <c r="I38" s="9" t="str">
        <f>IF(COUNTA(A38:H38)=0,"",IF(F38="Canceled","EXCLUDED",IF(AND(F38="Delayed",D38="In",B38&lt;&gt;"",H38&lt;&gt;""),"DELAYED",IF(AND(ISNUMBER(A38),ISNUMBER(Setup!$D$6),ISNUMBER(Setup!$D$8),A38&gt;=Setup!$D$6,A38&lt;(Setup!$D$8+1),B38&lt;&gt;"",OR(C38="Income",C38="Bill",C38="Living",C38="Transfer",C38="Card payment",C38="Fund bill"),OR(D38="In",D38="Out"),ISNUMBER(E38),E38&gt;=0,OR(F38="Scheduled",F38="Posted"),OR(G38="Verified",G38="Assumed"),H38&lt;&gt;""),"OK","CHECK"))))</f>
        <v/>
      </c>
    </row>
    <row r="39" spans="1:9" ht="42.95" customHeight="1">
      <c r="A39" s="6"/>
      <c r="B39" s="7"/>
      <c r="C39" s="7"/>
      <c r="D39" s="7"/>
      <c r="E39" s="8"/>
      <c r="F39" s="7"/>
      <c r="G39" s="7"/>
      <c r="H39" s="7"/>
      <c r="I39" s="9" t="str">
        <f>IF(COUNTA(A39:H39)=0,"",IF(F39="Canceled","EXCLUDED",IF(AND(F39="Delayed",D39="In",B39&lt;&gt;"",H39&lt;&gt;""),"DELAYED",IF(AND(ISNUMBER(A39),ISNUMBER(Setup!$D$6),ISNUMBER(Setup!$D$8),A39&gt;=Setup!$D$6,A39&lt;(Setup!$D$8+1),B39&lt;&gt;"",OR(C39="Income",C39="Bill",C39="Living",C39="Transfer",C39="Card payment",C39="Fund bill"),OR(D39="In",D39="Out"),ISNUMBER(E39),E39&gt;=0,OR(F39="Scheduled",F39="Posted"),OR(G39="Verified",G39="Assumed"),H39&lt;&gt;""),"OK","CHECK"))))</f>
        <v/>
      </c>
    </row>
    <row r="40" spans="1:9" ht="42.95" customHeight="1">
      <c r="A40" s="6"/>
      <c r="B40" s="7"/>
      <c r="C40" s="7"/>
      <c r="D40" s="7"/>
      <c r="E40" s="8"/>
      <c r="F40" s="7"/>
      <c r="G40" s="7"/>
      <c r="H40" s="7"/>
      <c r="I40" s="9" t="str">
        <f>IF(COUNTA(A40:H40)=0,"",IF(F40="Canceled","EXCLUDED",IF(AND(F40="Delayed",D40="In",B40&lt;&gt;"",H40&lt;&gt;""),"DELAYED",IF(AND(ISNUMBER(A40),ISNUMBER(Setup!$D$6),ISNUMBER(Setup!$D$8),A40&gt;=Setup!$D$6,A40&lt;(Setup!$D$8+1),B40&lt;&gt;"",OR(C40="Income",C40="Bill",C40="Living",C40="Transfer",C40="Card payment",C40="Fund bill"),OR(D40="In",D40="Out"),ISNUMBER(E40),E40&gt;=0,OR(F40="Scheduled",F40="Posted"),OR(G40="Verified",G40="Assumed"),H40&lt;&gt;""),"OK","CHECK"))))</f>
        <v/>
      </c>
    </row>
    <row r="41" spans="1:9" ht="42.95" customHeight="1">
      <c r="A41" s="6"/>
      <c r="B41" s="7"/>
      <c r="C41" s="7"/>
      <c r="D41" s="7"/>
      <c r="E41" s="8"/>
      <c r="F41" s="7"/>
      <c r="G41" s="7"/>
      <c r="H41" s="7"/>
      <c r="I41" s="9" t="str">
        <f>IF(COUNTA(A41:H41)=0,"",IF(F41="Canceled","EXCLUDED",IF(AND(F41="Delayed",D41="In",B41&lt;&gt;"",H41&lt;&gt;""),"DELAYED",IF(AND(ISNUMBER(A41),ISNUMBER(Setup!$D$6),ISNUMBER(Setup!$D$8),A41&gt;=Setup!$D$6,A41&lt;(Setup!$D$8+1),B41&lt;&gt;"",OR(C41="Income",C41="Bill",C41="Living",C41="Transfer",C41="Card payment",C41="Fund bill"),OR(D41="In",D41="Out"),ISNUMBER(E41),E41&gt;=0,OR(F41="Scheduled",F41="Posted"),OR(G41="Verified",G41="Assumed"),H41&lt;&gt;""),"OK","CHECK"))))</f>
        <v/>
      </c>
    </row>
    <row r="42" spans="1:9" ht="42.95" customHeight="1">
      <c r="A42" s="6"/>
      <c r="B42" s="7"/>
      <c r="C42" s="7"/>
      <c r="D42" s="7"/>
      <c r="E42" s="8"/>
      <c r="F42" s="7"/>
      <c r="G42" s="7"/>
      <c r="H42" s="7"/>
      <c r="I42" s="9" t="str">
        <f>IF(COUNTA(A42:H42)=0,"",IF(F42="Canceled","EXCLUDED",IF(AND(F42="Delayed",D42="In",B42&lt;&gt;"",H42&lt;&gt;""),"DELAYED",IF(AND(ISNUMBER(A42),ISNUMBER(Setup!$D$6),ISNUMBER(Setup!$D$8),A42&gt;=Setup!$D$6,A42&lt;(Setup!$D$8+1),B42&lt;&gt;"",OR(C42="Income",C42="Bill",C42="Living",C42="Transfer",C42="Card payment",C42="Fund bill"),OR(D42="In",D42="Out"),ISNUMBER(E42),E42&gt;=0,OR(F42="Scheduled",F42="Posted"),OR(G42="Verified",G42="Assumed"),H42&lt;&gt;""),"OK","CHECK"))))</f>
        <v/>
      </c>
    </row>
    <row r="43" spans="1:9" ht="42.95" customHeight="1">
      <c r="A43" s="6"/>
      <c r="B43" s="7"/>
      <c r="C43" s="7"/>
      <c r="D43" s="7"/>
      <c r="E43" s="8"/>
      <c r="F43" s="7"/>
      <c r="G43" s="7"/>
      <c r="H43" s="7"/>
      <c r="I43" s="9" t="str">
        <f>IF(COUNTA(A43:H43)=0,"",IF(F43="Canceled","EXCLUDED",IF(AND(F43="Delayed",D43="In",B43&lt;&gt;"",H43&lt;&gt;""),"DELAYED",IF(AND(ISNUMBER(A43),ISNUMBER(Setup!$D$6),ISNUMBER(Setup!$D$8),A43&gt;=Setup!$D$6,A43&lt;(Setup!$D$8+1),B43&lt;&gt;"",OR(C43="Income",C43="Bill",C43="Living",C43="Transfer",C43="Card payment",C43="Fund bill"),OR(D43="In",D43="Out"),ISNUMBER(E43),E43&gt;=0,OR(F43="Scheduled",F43="Posted"),OR(G43="Verified",G43="Assumed"),H43&lt;&gt;""),"OK","CHECK"))))</f>
        <v/>
      </c>
    </row>
    <row r="44" spans="1:9" ht="42.95" customHeight="1">
      <c r="A44" s="6"/>
      <c r="B44" s="7"/>
      <c r="C44" s="7"/>
      <c r="D44" s="7"/>
      <c r="E44" s="8"/>
      <c r="F44" s="7"/>
      <c r="G44" s="7"/>
      <c r="H44" s="7"/>
      <c r="I44" s="9" t="str">
        <f>IF(COUNTA(A44:H44)=0,"",IF(F44="Canceled","EXCLUDED",IF(AND(F44="Delayed",D44="In",B44&lt;&gt;"",H44&lt;&gt;""),"DELAYED",IF(AND(ISNUMBER(A44),ISNUMBER(Setup!$D$6),ISNUMBER(Setup!$D$8),A44&gt;=Setup!$D$6,A44&lt;(Setup!$D$8+1),B44&lt;&gt;"",OR(C44="Income",C44="Bill",C44="Living",C44="Transfer",C44="Card payment",C44="Fund bill"),OR(D44="In",D44="Out"),ISNUMBER(E44),E44&gt;=0,OR(F44="Scheduled",F44="Posted"),OR(G44="Verified",G44="Assumed"),H44&lt;&gt;""),"OK","CHECK"))))</f>
        <v/>
      </c>
    </row>
    <row r="45" spans="1:9" ht="42.95" customHeight="1">
      <c r="A45" s="6"/>
      <c r="B45" s="7"/>
      <c r="C45" s="7"/>
      <c r="D45" s="7"/>
      <c r="E45" s="8"/>
      <c r="F45" s="7"/>
      <c r="G45" s="7"/>
      <c r="H45" s="7"/>
      <c r="I45" s="9" t="str">
        <f>IF(COUNTA(A45:H45)=0,"",IF(F45="Canceled","EXCLUDED",IF(AND(F45="Delayed",D45="In",B45&lt;&gt;"",H45&lt;&gt;""),"DELAYED",IF(AND(ISNUMBER(A45),ISNUMBER(Setup!$D$6),ISNUMBER(Setup!$D$8),A45&gt;=Setup!$D$6,A45&lt;(Setup!$D$8+1),B45&lt;&gt;"",OR(C45="Income",C45="Bill",C45="Living",C45="Transfer",C45="Card payment",C45="Fund bill"),OR(D45="In",D45="Out"),ISNUMBER(E45),E45&gt;=0,OR(F45="Scheduled",F45="Posted"),OR(G45="Verified",G45="Assumed"),H45&lt;&gt;""),"OK","CHECK"))))</f>
        <v/>
      </c>
    </row>
    <row r="46" spans="1:9" ht="42.95" customHeight="1">
      <c r="A46" s="6"/>
      <c r="B46" s="7"/>
      <c r="C46" s="7"/>
      <c r="D46" s="7"/>
      <c r="E46" s="8"/>
      <c r="F46" s="7"/>
      <c r="G46" s="7"/>
      <c r="H46" s="7"/>
      <c r="I46" s="9" t="str">
        <f>IF(COUNTA(A46:H46)=0,"",IF(F46="Canceled","EXCLUDED",IF(AND(F46="Delayed",D46="In",B46&lt;&gt;"",H46&lt;&gt;""),"DELAYED",IF(AND(ISNUMBER(A46),ISNUMBER(Setup!$D$6),ISNUMBER(Setup!$D$8),A46&gt;=Setup!$D$6,A46&lt;(Setup!$D$8+1),B46&lt;&gt;"",OR(C46="Income",C46="Bill",C46="Living",C46="Transfer",C46="Card payment",C46="Fund bill"),OR(D46="In",D46="Out"),ISNUMBER(E46),E46&gt;=0,OR(F46="Scheduled",F46="Posted"),OR(G46="Verified",G46="Assumed"),H46&lt;&gt;""),"OK","CHECK"))))</f>
        <v/>
      </c>
    </row>
    <row r="47" spans="1:9" ht="42.95" customHeight="1">
      <c r="A47" s="6"/>
      <c r="B47" s="7"/>
      <c r="C47" s="7"/>
      <c r="D47" s="7"/>
      <c r="E47" s="8"/>
      <c r="F47" s="7"/>
      <c r="G47" s="7"/>
      <c r="H47" s="7"/>
      <c r="I47" s="9" t="str">
        <f>IF(COUNTA(A47:H47)=0,"",IF(F47="Canceled","EXCLUDED",IF(AND(F47="Delayed",D47="In",B47&lt;&gt;"",H47&lt;&gt;""),"DELAYED",IF(AND(ISNUMBER(A47),ISNUMBER(Setup!$D$6),ISNUMBER(Setup!$D$8),A47&gt;=Setup!$D$6,A47&lt;(Setup!$D$8+1),B47&lt;&gt;"",OR(C47="Income",C47="Bill",C47="Living",C47="Transfer",C47="Card payment",C47="Fund bill"),OR(D47="In",D47="Out"),ISNUMBER(E47),E47&gt;=0,OR(F47="Scheduled",F47="Posted"),OR(G47="Verified",G47="Assumed"),H47&lt;&gt;""),"OK","CHECK"))))</f>
        <v/>
      </c>
    </row>
    <row r="48" spans="1:9" ht="42.95" customHeight="1">
      <c r="A48" s="6"/>
      <c r="B48" s="7"/>
      <c r="C48" s="7"/>
      <c r="D48" s="7"/>
      <c r="E48" s="8"/>
      <c r="F48" s="7"/>
      <c r="G48" s="7"/>
      <c r="H48" s="7"/>
      <c r="I48" s="9" t="str">
        <f>IF(COUNTA(A48:H48)=0,"",IF(F48="Canceled","EXCLUDED",IF(AND(F48="Delayed",D48="In",B48&lt;&gt;"",H48&lt;&gt;""),"DELAYED",IF(AND(ISNUMBER(A48),ISNUMBER(Setup!$D$6),ISNUMBER(Setup!$D$8),A48&gt;=Setup!$D$6,A48&lt;(Setup!$D$8+1),B48&lt;&gt;"",OR(C48="Income",C48="Bill",C48="Living",C48="Transfer",C48="Card payment",C48="Fund bill"),OR(D48="In",D48="Out"),ISNUMBER(E48),E48&gt;=0,OR(F48="Scheduled",F48="Posted"),OR(G48="Verified",G48="Assumed"),H48&lt;&gt;""),"OK","CHECK"))))</f>
        <v/>
      </c>
    </row>
    <row r="49" spans="1:9" ht="42.95" customHeight="1">
      <c r="A49" s="6"/>
      <c r="B49" s="7"/>
      <c r="C49" s="7"/>
      <c r="D49" s="7"/>
      <c r="E49" s="8"/>
      <c r="F49" s="7"/>
      <c r="G49" s="7"/>
      <c r="H49" s="7"/>
      <c r="I49" s="9" t="str">
        <f>IF(COUNTA(A49:H49)=0,"",IF(F49="Canceled","EXCLUDED",IF(AND(F49="Delayed",D49="In",B49&lt;&gt;"",H49&lt;&gt;""),"DELAYED",IF(AND(ISNUMBER(A49),ISNUMBER(Setup!$D$6),ISNUMBER(Setup!$D$8),A49&gt;=Setup!$D$6,A49&lt;(Setup!$D$8+1),B49&lt;&gt;"",OR(C49="Income",C49="Bill",C49="Living",C49="Transfer",C49="Card payment",C49="Fund bill"),OR(D49="In",D49="Out"),ISNUMBER(E49),E49&gt;=0,OR(F49="Scheduled",F49="Posted"),OR(G49="Verified",G49="Assumed"),H49&lt;&gt;""),"OK","CHECK"))))</f>
        <v/>
      </c>
    </row>
    <row r="50" spans="1:9" ht="42.95" customHeight="1">
      <c r="A50" s="6"/>
      <c r="B50" s="7"/>
      <c r="C50" s="7"/>
      <c r="D50" s="7"/>
      <c r="E50" s="8"/>
      <c r="F50" s="7"/>
      <c r="G50" s="7"/>
      <c r="H50" s="7"/>
      <c r="I50" s="9" t="str">
        <f>IF(COUNTA(A50:H50)=0,"",IF(F50="Canceled","EXCLUDED",IF(AND(F50="Delayed",D50="In",B50&lt;&gt;"",H50&lt;&gt;""),"DELAYED",IF(AND(ISNUMBER(A50),ISNUMBER(Setup!$D$6),ISNUMBER(Setup!$D$8),A50&gt;=Setup!$D$6,A50&lt;(Setup!$D$8+1),B50&lt;&gt;"",OR(C50="Income",C50="Bill",C50="Living",C50="Transfer",C50="Card payment",C50="Fund bill"),OR(D50="In",D50="Out"),ISNUMBER(E50),E50&gt;=0,OR(F50="Scheduled",F50="Posted"),OR(G50="Verified",G50="Assumed"),H50&lt;&gt;""),"OK","CHECK"))))</f>
        <v/>
      </c>
    </row>
    <row r="51" spans="1:9" ht="42.95" customHeight="1">
      <c r="A51" s="6"/>
      <c r="B51" s="7"/>
      <c r="C51" s="7"/>
      <c r="D51" s="7"/>
      <c r="E51" s="8"/>
      <c r="F51" s="7"/>
      <c r="G51" s="7"/>
      <c r="H51" s="7"/>
      <c r="I51" s="9" t="str">
        <f>IF(COUNTA(A51:H51)=0,"",IF(F51="Canceled","EXCLUDED",IF(AND(F51="Delayed",D51="In",B51&lt;&gt;"",H51&lt;&gt;""),"DELAYED",IF(AND(ISNUMBER(A51),ISNUMBER(Setup!$D$6),ISNUMBER(Setup!$D$8),A51&gt;=Setup!$D$6,A51&lt;(Setup!$D$8+1),B51&lt;&gt;"",OR(C51="Income",C51="Bill",C51="Living",C51="Transfer",C51="Card payment",C51="Fund bill"),OR(D51="In",D51="Out"),ISNUMBER(E51),E51&gt;=0,OR(F51="Scheduled",F51="Posted"),OR(G51="Verified",G51="Assumed"),H51&lt;&gt;""),"OK","CHECK"))))</f>
        <v/>
      </c>
    </row>
    <row r="52" spans="1:9" ht="42.95" customHeight="1">
      <c r="A52" s="6"/>
      <c r="B52" s="7"/>
      <c r="C52" s="7"/>
      <c r="D52" s="7"/>
      <c r="E52" s="8"/>
      <c r="F52" s="7"/>
      <c r="G52" s="7"/>
      <c r="H52" s="7"/>
      <c r="I52" s="9" t="str">
        <f>IF(COUNTA(A52:H52)=0,"",IF(F52="Canceled","EXCLUDED",IF(AND(F52="Delayed",D52="In",B52&lt;&gt;"",H52&lt;&gt;""),"DELAYED",IF(AND(ISNUMBER(A52),ISNUMBER(Setup!$D$6),ISNUMBER(Setup!$D$8),A52&gt;=Setup!$D$6,A52&lt;(Setup!$D$8+1),B52&lt;&gt;"",OR(C52="Income",C52="Bill",C52="Living",C52="Transfer",C52="Card payment",C52="Fund bill"),OR(D52="In",D52="Out"),ISNUMBER(E52),E52&gt;=0,OR(F52="Scheduled",F52="Posted"),OR(G52="Verified",G52="Assumed"),H52&lt;&gt;""),"OK","CHECK"))))</f>
        <v/>
      </c>
    </row>
    <row r="53" spans="1:9" ht="42.95" customHeight="1">
      <c r="A53" s="6"/>
      <c r="B53" s="7"/>
      <c r="C53" s="7"/>
      <c r="D53" s="7"/>
      <c r="E53" s="8"/>
      <c r="F53" s="7"/>
      <c r="G53" s="7"/>
      <c r="H53" s="7"/>
      <c r="I53" s="9" t="str">
        <f>IF(COUNTA(A53:H53)=0,"",IF(F53="Canceled","EXCLUDED",IF(AND(F53="Delayed",D53="In",B53&lt;&gt;"",H53&lt;&gt;""),"DELAYED",IF(AND(ISNUMBER(A53),ISNUMBER(Setup!$D$6),ISNUMBER(Setup!$D$8),A53&gt;=Setup!$D$6,A53&lt;(Setup!$D$8+1),B53&lt;&gt;"",OR(C53="Income",C53="Bill",C53="Living",C53="Transfer",C53="Card payment",C53="Fund bill"),OR(D53="In",D53="Out"),ISNUMBER(E53),E53&gt;=0,OR(F53="Scheduled",F53="Posted"),OR(G53="Verified",G53="Assumed"),H53&lt;&gt;""),"OK","CHECK"))))</f>
        <v/>
      </c>
    </row>
    <row r="54" spans="1:9" ht="42.95" customHeight="1">
      <c r="A54" s="6"/>
      <c r="B54" s="7"/>
      <c r="C54" s="7"/>
      <c r="D54" s="7"/>
      <c r="E54" s="8"/>
      <c r="F54" s="7"/>
      <c r="G54" s="7"/>
      <c r="H54" s="7"/>
      <c r="I54" s="9" t="str">
        <f>IF(COUNTA(A54:H54)=0,"",IF(F54="Canceled","EXCLUDED",IF(AND(F54="Delayed",D54="In",B54&lt;&gt;"",H54&lt;&gt;""),"DELAYED",IF(AND(ISNUMBER(A54),ISNUMBER(Setup!$D$6),ISNUMBER(Setup!$D$8),A54&gt;=Setup!$D$6,A54&lt;(Setup!$D$8+1),B54&lt;&gt;"",OR(C54="Income",C54="Bill",C54="Living",C54="Transfer",C54="Card payment",C54="Fund bill"),OR(D54="In",D54="Out"),ISNUMBER(E54),E54&gt;=0,OR(F54="Scheduled",F54="Posted"),OR(G54="Verified",G54="Assumed"),H54&lt;&gt;""),"OK","CHECK"))))</f>
        <v/>
      </c>
    </row>
    <row r="55" spans="1:9" ht="42.95" customHeight="1">
      <c r="A55" s="6"/>
      <c r="B55" s="7"/>
      <c r="C55" s="7"/>
      <c r="D55" s="7"/>
      <c r="E55" s="8"/>
      <c r="F55" s="7"/>
      <c r="G55" s="7"/>
      <c r="H55" s="7"/>
      <c r="I55" s="9" t="str">
        <f>IF(COUNTA(A55:H55)=0,"",IF(F55="Canceled","EXCLUDED",IF(AND(F55="Delayed",D55="In",B55&lt;&gt;"",H55&lt;&gt;""),"DELAYED",IF(AND(ISNUMBER(A55),ISNUMBER(Setup!$D$6),ISNUMBER(Setup!$D$8),A55&gt;=Setup!$D$6,A55&lt;(Setup!$D$8+1),B55&lt;&gt;"",OR(C55="Income",C55="Bill",C55="Living",C55="Transfer",C55="Card payment",C55="Fund bill"),OR(D55="In",D55="Out"),ISNUMBER(E55),E55&gt;=0,OR(F55="Scheduled",F55="Posted"),OR(G55="Verified",G55="Assumed"),H55&lt;&gt;""),"OK","CHECK"))))</f>
        <v/>
      </c>
    </row>
    <row r="56" spans="1:9" ht="42.95" customHeight="1">
      <c r="A56" s="6"/>
      <c r="B56" s="7"/>
      <c r="C56" s="7"/>
      <c r="D56" s="7"/>
      <c r="E56" s="8"/>
      <c r="F56" s="7"/>
      <c r="G56" s="7"/>
      <c r="H56" s="7"/>
      <c r="I56" s="9" t="str">
        <f>IF(COUNTA(A56:H56)=0,"",IF(F56="Canceled","EXCLUDED",IF(AND(F56="Delayed",D56="In",B56&lt;&gt;"",H56&lt;&gt;""),"DELAYED",IF(AND(ISNUMBER(A56),ISNUMBER(Setup!$D$6),ISNUMBER(Setup!$D$8),A56&gt;=Setup!$D$6,A56&lt;(Setup!$D$8+1),B56&lt;&gt;"",OR(C56="Income",C56="Bill",C56="Living",C56="Transfer",C56="Card payment",C56="Fund bill"),OR(D56="In",D56="Out"),ISNUMBER(E56),E56&gt;=0,OR(F56="Scheduled",F56="Posted"),OR(G56="Verified",G56="Assumed"),H56&lt;&gt;""),"OK","CHECK"))))</f>
        <v/>
      </c>
    </row>
    <row r="57" spans="1:9" ht="42.95" customHeight="1">
      <c r="A57" s="6"/>
      <c r="B57" s="7"/>
      <c r="C57" s="7"/>
      <c r="D57" s="7"/>
      <c r="E57" s="8"/>
      <c r="F57" s="7"/>
      <c r="G57" s="7"/>
      <c r="H57" s="7"/>
      <c r="I57" s="9" t="str">
        <f>IF(COUNTA(A57:H57)=0,"",IF(F57="Canceled","EXCLUDED",IF(AND(F57="Delayed",D57="In",B57&lt;&gt;"",H57&lt;&gt;""),"DELAYED",IF(AND(ISNUMBER(A57),ISNUMBER(Setup!$D$6),ISNUMBER(Setup!$D$8),A57&gt;=Setup!$D$6,A57&lt;(Setup!$D$8+1),B57&lt;&gt;"",OR(C57="Income",C57="Bill",C57="Living",C57="Transfer",C57="Card payment",C57="Fund bill"),OR(D57="In",D57="Out"),ISNUMBER(E57),E57&gt;=0,OR(F57="Scheduled",F57="Posted"),OR(G57="Verified",G57="Assumed"),H57&lt;&gt;""),"OK","CHECK"))))</f>
        <v/>
      </c>
    </row>
    <row r="58" spans="1:9" ht="42.95" customHeight="1">
      <c r="A58" s="6"/>
      <c r="B58" s="7"/>
      <c r="C58" s="7"/>
      <c r="D58" s="7"/>
      <c r="E58" s="8"/>
      <c r="F58" s="7"/>
      <c r="G58" s="7"/>
      <c r="H58" s="7"/>
      <c r="I58" s="9" t="str">
        <f>IF(COUNTA(A58:H58)=0,"",IF(F58="Canceled","EXCLUDED",IF(AND(F58="Delayed",D58="In",B58&lt;&gt;"",H58&lt;&gt;""),"DELAYED",IF(AND(ISNUMBER(A58),ISNUMBER(Setup!$D$6),ISNUMBER(Setup!$D$8),A58&gt;=Setup!$D$6,A58&lt;(Setup!$D$8+1),B58&lt;&gt;"",OR(C58="Income",C58="Bill",C58="Living",C58="Transfer",C58="Card payment",C58="Fund bill"),OR(D58="In",D58="Out"),ISNUMBER(E58),E58&gt;=0,OR(F58="Scheduled",F58="Posted"),OR(G58="Verified",G58="Assumed"),H58&lt;&gt;""),"OK","CHECK"))))</f>
        <v/>
      </c>
    </row>
    <row r="59" spans="1:9" ht="42.95" customHeight="1">
      <c r="A59" s="6"/>
      <c r="B59" s="7"/>
      <c r="C59" s="7"/>
      <c r="D59" s="7"/>
      <c r="E59" s="8"/>
      <c r="F59" s="7"/>
      <c r="G59" s="7"/>
      <c r="H59" s="7"/>
      <c r="I59" s="9" t="str">
        <f>IF(COUNTA(A59:H59)=0,"",IF(F59="Canceled","EXCLUDED",IF(AND(F59="Delayed",D59="In",B59&lt;&gt;"",H59&lt;&gt;""),"DELAYED",IF(AND(ISNUMBER(A59),ISNUMBER(Setup!$D$6),ISNUMBER(Setup!$D$8),A59&gt;=Setup!$D$6,A59&lt;(Setup!$D$8+1),B59&lt;&gt;"",OR(C59="Income",C59="Bill",C59="Living",C59="Transfer",C59="Card payment",C59="Fund bill"),OR(D59="In",D59="Out"),ISNUMBER(E59),E59&gt;=0,OR(F59="Scheduled",F59="Posted"),OR(G59="Verified",G59="Assumed"),H59&lt;&gt;""),"OK","CHECK"))))</f>
        <v/>
      </c>
    </row>
    <row r="60" spans="1:9" ht="42.95" customHeight="1">
      <c r="A60" s="6"/>
      <c r="B60" s="7"/>
      <c r="C60" s="7"/>
      <c r="D60" s="7"/>
      <c r="E60" s="8"/>
      <c r="F60" s="7"/>
      <c r="G60" s="7"/>
      <c r="H60" s="7"/>
      <c r="I60" s="9" t="str">
        <f>IF(COUNTA(A60:H60)=0,"",IF(F60="Canceled","EXCLUDED",IF(AND(F60="Delayed",D60="In",B60&lt;&gt;"",H60&lt;&gt;""),"DELAYED",IF(AND(ISNUMBER(A60),ISNUMBER(Setup!$D$6),ISNUMBER(Setup!$D$8),A60&gt;=Setup!$D$6,A60&lt;(Setup!$D$8+1),B60&lt;&gt;"",OR(C60="Income",C60="Bill",C60="Living",C60="Transfer",C60="Card payment",C60="Fund bill"),OR(D60="In",D60="Out"),ISNUMBER(E60),E60&gt;=0,OR(F60="Scheduled",F60="Posted"),OR(G60="Verified",G60="Assumed"),H60&lt;&gt;""),"OK","CHECK"))))</f>
        <v/>
      </c>
    </row>
    <row r="61" spans="1:9" ht="42.95" customHeight="1">
      <c r="A61" s="6"/>
      <c r="B61" s="7"/>
      <c r="C61" s="7"/>
      <c r="D61" s="7"/>
      <c r="E61" s="8"/>
      <c r="F61" s="7"/>
      <c r="G61" s="7"/>
      <c r="H61" s="7"/>
      <c r="I61" s="9" t="str">
        <f>IF(COUNTA(A61:H61)=0,"",IF(F61="Canceled","EXCLUDED",IF(AND(F61="Delayed",D61="In",B61&lt;&gt;"",H61&lt;&gt;""),"DELAYED",IF(AND(ISNUMBER(A61),ISNUMBER(Setup!$D$6),ISNUMBER(Setup!$D$8),A61&gt;=Setup!$D$6,A61&lt;(Setup!$D$8+1),B61&lt;&gt;"",OR(C61="Income",C61="Bill",C61="Living",C61="Transfer",C61="Card payment",C61="Fund bill"),OR(D61="In",D61="Out"),ISNUMBER(E61),E61&gt;=0,OR(F61="Scheduled",F61="Posted"),OR(G61="Verified",G61="Assumed"),H61&lt;&gt;""),"OK","CHECK"))))</f>
        <v/>
      </c>
    </row>
    <row r="62" spans="1:9" ht="42.95" customHeight="1">
      <c r="A62" s="6"/>
      <c r="B62" s="7"/>
      <c r="C62" s="7"/>
      <c r="D62" s="7"/>
      <c r="E62" s="8"/>
      <c r="F62" s="7"/>
      <c r="G62" s="7"/>
      <c r="H62" s="7"/>
      <c r="I62" s="9" t="str">
        <f>IF(COUNTA(A62:H62)=0,"",IF(F62="Canceled","EXCLUDED",IF(AND(F62="Delayed",D62="In",B62&lt;&gt;"",H62&lt;&gt;""),"DELAYED",IF(AND(ISNUMBER(A62),ISNUMBER(Setup!$D$6),ISNUMBER(Setup!$D$8),A62&gt;=Setup!$D$6,A62&lt;(Setup!$D$8+1),B62&lt;&gt;"",OR(C62="Income",C62="Bill",C62="Living",C62="Transfer",C62="Card payment",C62="Fund bill"),OR(D62="In",D62="Out"),ISNUMBER(E62),E62&gt;=0,OR(F62="Scheduled",F62="Posted"),OR(G62="Verified",G62="Assumed"),H62&lt;&gt;""),"OK","CHECK"))))</f>
        <v/>
      </c>
    </row>
    <row r="63" spans="1:9" ht="42.95" customHeight="1">
      <c r="A63" s="6"/>
      <c r="B63" s="7"/>
      <c r="C63" s="7"/>
      <c r="D63" s="7"/>
      <c r="E63" s="8"/>
      <c r="F63" s="7"/>
      <c r="G63" s="7"/>
      <c r="H63" s="7"/>
      <c r="I63" s="9" t="str">
        <f>IF(COUNTA(A63:H63)=0,"",IF(F63="Canceled","EXCLUDED",IF(AND(F63="Delayed",D63="In",B63&lt;&gt;"",H63&lt;&gt;""),"DELAYED",IF(AND(ISNUMBER(A63),ISNUMBER(Setup!$D$6),ISNUMBER(Setup!$D$8),A63&gt;=Setup!$D$6,A63&lt;(Setup!$D$8+1),B63&lt;&gt;"",OR(C63="Income",C63="Bill",C63="Living",C63="Transfer",C63="Card payment",C63="Fund bill"),OR(D63="In",D63="Out"),ISNUMBER(E63),E63&gt;=0,OR(F63="Scheduled",F63="Posted"),OR(G63="Verified",G63="Assumed"),H63&lt;&gt;""),"OK","CHECK"))))</f>
        <v/>
      </c>
    </row>
    <row r="64" spans="1:9" ht="42.95" customHeight="1">
      <c r="A64" s="6"/>
      <c r="B64" s="7"/>
      <c r="C64" s="7"/>
      <c r="D64" s="7"/>
      <c r="E64" s="8"/>
      <c r="F64" s="7"/>
      <c r="G64" s="7"/>
      <c r="H64" s="7"/>
      <c r="I64" s="9" t="str">
        <f>IF(COUNTA(A64:H64)=0,"",IF(F64="Canceled","EXCLUDED",IF(AND(F64="Delayed",D64="In",B64&lt;&gt;"",H64&lt;&gt;""),"DELAYED",IF(AND(ISNUMBER(A64),ISNUMBER(Setup!$D$6),ISNUMBER(Setup!$D$8),A64&gt;=Setup!$D$6,A64&lt;(Setup!$D$8+1),B64&lt;&gt;"",OR(C64="Income",C64="Bill",C64="Living",C64="Transfer",C64="Card payment",C64="Fund bill"),OR(D64="In",D64="Out"),ISNUMBER(E64),E64&gt;=0,OR(F64="Scheduled",F64="Posted"),OR(G64="Verified",G64="Assumed"),H64&lt;&gt;""),"OK","CHECK"))))</f>
        <v/>
      </c>
    </row>
    <row r="65" spans="1:9" ht="42.95" customHeight="1">
      <c r="A65" s="6"/>
      <c r="B65" s="7"/>
      <c r="C65" s="7"/>
      <c r="D65" s="7"/>
      <c r="E65" s="8"/>
      <c r="F65" s="7"/>
      <c r="G65" s="7"/>
      <c r="H65" s="7"/>
      <c r="I65" s="9" t="str">
        <f>IF(COUNTA(A65:H65)=0,"",IF(F65="Canceled","EXCLUDED",IF(AND(F65="Delayed",D65="In",B65&lt;&gt;"",H65&lt;&gt;""),"DELAYED",IF(AND(ISNUMBER(A65),ISNUMBER(Setup!$D$6),ISNUMBER(Setup!$D$8),A65&gt;=Setup!$D$6,A65&lt;(Setup!$D$8+1),B65&lt;&gt;"",OR(C65="Income",C65="Bill",C65="Living",C65="Transfer",C65="Card payment",C65="Fund bill"),OR(D65="In",D65="Out"),ISNUMBER(E65),E65&gt;=0,OR(F65="Scheduled",F65="Posted"),OR(G65="Verified",G65="Assumed"),H65&lt;&gt;""),"OK","CHECK"))))</f>
        <v/>
      </c>
    </row>
    <row r="66" spans="1:9" ht="42.95" customHeight="1">
      <c r="A66" s="6"/>
      <c r="B66" s="7"/>
      <c r="C66" s="7"/>
      <c r="D66" s="7"/>
      <c r="E66" s="8"/>
      <c r="F66" s="7"/>
      <c r="G66" s="7"/>
      <c r="H66" s="7"/>
      <c r="I66" s="9" t="str">
        <f>IF(COUNTA(A66:H66)=0,"",IF(F66="Canceled","EXCLUDED",IF(AND(F66="Delayed",D66="In",B66&lt;&gt;"",H66&lt;&gt;""),"DELAYED",IF(AND(ISNUMBER(A66),ISNUMBER(Setup!$D$6),ISNUMBER(Setup!$D$8),A66&gt;=Setup!$D$6,A66&lt;(Setup!$D$8+1),B66&lt;&gt;"",OR(C66="Income",C66="Bill",C66="Living",C66="Transfer",C66="Card payment",C66="Fund bill"),OR(D66="In",D66="Out"),ISNUMBER(E66),E66&gt;=0,OR(F66="Scheduled",F66="Posted"),OR(G66="Verified",G66="Assumed"),H66&lt;&gt;""),"OK","CHECK"))))</f>
        <v/>
      </c>
    </row>
    <row r="67" spans="1:9" ht="42.95" customHeight="1">
      <c r="A67" s="6"/>
      <c r="B67" s="7"/>
      <c r="C67" s="7"/>
      <c r="D67" s="7"/>
      <c r="E67" s="8"/>
      <c r="F67" s="7"/>
      <c r="G67" s="7"/>
      <c r="H67" s="7"/>
      <c r="I67" s="9" t="str">
        <f>IF(COUNTA(A67:H67)=0,"",IF(F67="Canceled","EXCLUDED",IF(AND(F67="Delayed",D67="In",B67&lt;&gt;"",H67&lt;&gt;""),"DELAYED",IF(AND(ISNUMBER(A67),ISNUMBER(Setup!$D$6),ISNUMBER(Setup!$D$8),A67&gt;=Setup!$D$6,A67&lt;(Setup!$D$8+1),B67&lt;&gt;"",OR(C67="Income",C67="Bill",C67="Living",C67="Transfer",C67="Card payment",C67="Fund bill"),OR(D67="In",D67="Out"),ISNUMBER(E67),E67&gt;=0,OR(F67="Scheduled",F67="Posted"),OR(G67="Verified",G67="Assumed"),H67&lt;&gt;""),"OK","CHECK"))))</f>
        <v/>
      </c>
    </row>
    <row r="68" spans="1:9" ht="42.95" customHeight="1">
      <c r="A68" s="6"/>
      <c r="B68" s="7"/>
      <c r="C68" s="7"/>
      <c r="D68" s="7"/>
      <c r="E68" s="8"/>
      <c r="F68" s="7"/>
      <c r="G68" s="7"/>
      <c r="H68" s="7"/>
      <c r="I68" s="9" t="str">
        <f>IF(COUNTA(A68:H68)=0,"",IF(F68="Canceled","EXCLUDED",IF(AND(F68="Delayed",D68="In",B68&lt;&gt;"",H68&lt;&gt;""),"DELAYED",IF(AND(ISNUMBER(A68),ISNUMBER(Setup!$D$6),ISNUMBER(Setup!$D$8),A68&gt;=Setup!$D$6,A68&lt;(Setup!$D$8+1),B68&lt;&gt;"",OR(C68="Income",C68="Bill",C68="Living",C68="Transfer",C68="Card payment",C68="Fund bill"),OR(D68="In",D68="Out"),ISNUMBER(E68),E68&gt;=0,OR(F68="Scheduled",F68="Posted"),OR(G68="Verified",G68="Assumed"),H68&lt;&gt;""),"OK","CHECK"))))</f>
        <v/>
      </c>
    </row>
    <row r="69" spans="1:9" ht="42.95" customHeight="1">
      <c r="A69" s="6"/>
      <c r="B69" s="7"/>
      <c r="C69" s="7"/>
      <c r="D69" s="7"/>
      <c r="E69" s="8"/>
      <c r="F69" s="7"/>
      <c r="G69" s="7"/>
      <c r="H69" s="7"/>
      <c r="I69" s="9" t="str">
        <f>IF(COUNTA(A69:H69)=0,"",IF(F69="Canceled","EXCLUDED",IF(AND(F69="Delayed",D69="In",B69&lt;&gt;"",H69&lt;&gt;""),"DELAYED",IF(AND(ISNUMBER(A69),ISNUMBER(Setup!$D$6),ISNUMBER(Setup!$D$8),A69&gt;=Setup!$D$6,A69&lt;(Setup!$D$8+1),B69&lt;&gt;"",OR(C69="Income",C69="Bill",C69="Living",C69="Transfer",C69="Card payment",C69="Fund bill"),OR(D69="In",D69="Out"),ISNUMBER(E69),E69&gt;=0,OR(F69="Scheduled",F69="Posted"),OR(G69="Verified",G69="Assumed"),H69&lt;&gt;""),"OK","CHECK"))))</f>
        <v/>
      </c>
    </row>
    <row r="70" spans="1:9" ht="42.95" customHeight="1">
      <c r="A70" s="6"/>
      <c r="B70" s="7"/>
      <c r="C70" s="7"/>
      <c r="D70" s="7"/>
      <c r="E70" s="8"/>
      <c r="F70" s="7"/>
      <c r="G70" s="7"/>
      <c r="H70" s="7"/>
      <c r="I70" s="9" t="str">
        <f>IF(COUNTA(A70:H70)=0,"",IF(F70="Canceled","EXCLUDED",IF(AND(F70="Delayed",D70="In",B70&lt;&gt;"",H70&lt;&gt;""),"DELAYED",IF(AND(ISNUMBER(A70),ISNUMBER(Setup!$D$6),ISNUMBER(Setup!$D$8),A70&gt;=Setup!$D$6,A70&lt;(Setup!$D$8+1),B70&lt;&gt;"",OR(C70="Income",C70="Bill",C70="Living",C70="Transfer",C70="Card payment",C70="Fund bill"),OR(D70="In",D70="Out"),ISNUMBER(E70),E70&gt;=0,OR(F70="Scheduled",F70="Posted"),OR(G70="Verified",G70="Assumed"),H70&lt;&gt;""),"OK","CHECK"))))</f>
        <v/>
      </c>
    </row>
    <row r="71" spans="1:9" ht="42.95" customHeight="1">
      <c r="A71" s="6"/>
      <c r="B71" s="7"/>
      <c r="C71" s="7"/>
      <c r="D71" s="7"/>
      <c r="E71" s="8"/>
      <c r="F71" s="7"/>
      <c r="G71" s="7"/>
      <c r="H71" s="7"/>
      <c r="I71" s="9" t="str">
        <f>IF(COUNTA(A71:H71)=0,"",IF(F71="Canceled","EXCLUDED",IF(AND(F71="Delayed",D71="In",B71&lt;&gt;"",H71&lt;&gt;""),"DELAYED",IF(AND(ISNUMBER(A71),ISNUMBER(Setup!$D$6),ISNUMBER(Setup!$D$8),A71&gt;=Setup!$D$6,A71&lt;(Setup!$D$8+1),B71&lt;&gt;"",OR(C71="Income",C71="Bill",C71="Living",C71="Transfer",C71="Card payment",C71="Fund bill"),OR(D71="In",D71="Out"),ISNUMBER(E71),E71&gt;=0,OR(F71="Scheduled",F71="Posted"),OR(G71="Verified",G71="Assumed"),H71&lt;&gt;""),"OK","CHECK"))))</f>
        <v/>
      </c>
    </row>
    <row r="72" spans="1:9" ht="42.95" customHeight="1">
      <c r="A72" s="6"/>
      <c r="B72" s="7"/>
      <c r="C72" s="7"/>
      <c r="D72" s="7"/>
      <c r="E72" s="8"/>
      <c r="F72" s="7"/>
      <c r="G72" s="7"/>
      <c r="H72" s="7"/>
      <c r="I72" s="9" t="str">
        <f>IF(COUNTA(A72:H72)=0,"",IF(F72="Canceled","EXCLUDED",IF(AND(F72="Delayed",D72="In",B72&lt;&gt;"",H72&lt;&gt;""),"DELAYED",IF(AND(ISNUMBER(A72),ISNUMBER(Setup!$D$6),ISNUMBER(Setup!$D$8),A72&gt;=Setup!$D$6,A72&lt;(Setup!$D$8+1),B72&lt;&gt;"",OR(C72="Income",C72="Bill",C72="Living",C72="Transfer",C72="Card payment",C72="Fund bill"),OR(D72="In",D72="Out"),ISNUMBER(E72),E72&gt;=0,OR(F72="Scheduled",F72="Posted"),OR(G72="Verified",G72="Assumed"),H72&lt;&gt;""),"OK","CHECK"))))</f>
        <v/>
      </c>
    </row>
    <row r="73" spans="1:9" ht="42.95" customHeight="1">
      <c r="A73" s="6"/>
      <c r="B73" s="7"/>
      <c r="C73" s="7"/>
      <c r="D73" s="7"/>
      <c r="E73" s="8"/>
      <c r="F73" s="7"/>
      <c r="G73" s="7"/>
      <c r="H73" s="7"/>
      <c r="I73" s="9" t="str">
        <f>IF(COUNTA(A73:H73)=0,"",IF(F73="Canceled","EXCLUDED",IF(AND(F73="Delayed",D73="In",B73&lt;&gt;"",H73&lt;&gt;""),"DELAYED",IF(AND(ISNUMBER(A73),ISNUMBER(Setup!$D$6),ISNUMBER(Setup!$D$8),A73&gt;=Setup!$D$6,A73&lt;(Setup!$D$8+1),B73&lt;&gt;"",OR(C73="Income",C73="Bill",C73="Living",C73="Transfer",C73="Card payment",C73="Fund bill"),OR(D73="In",D73="Out"),ISNUMBER(E73),E73&gt;=0,OR(F73="Scheduled",F73="Posted"),OR(G73="Verified",G73="Assumed"),H73&lt;&gt;""),"OK","CHECK"))))</f>
        <v/>
      </c>
    </row>
    <row r="74" spans="1:9" ht="42.95" customHeight="1">
      <c r="A74" s="6"/>
      <c r="B74" s="7"/>
      <c r="C74" s="7"/>
      <c r="D74" s="7"/>
      <c r="E74" s="8"/>
      <c r="F74" s="7"/>
      <c r="G74" s="7"/>
      <c r="H74" s="7"/>
      <c r="I74" s="9" t="str">
        <f>IF(COUNTA(A74:H74)=0,"",IF(F74="Canceled","EXCLUDED",IF(AND(F74="Delayed",D74="In",B74&lt;&gt;"",H74&lt;&gt;""),"DELAYED",IF(AND(ISNUMBER(A74),ISNUMBER(Setup!$D$6),ISNUMBER(Setup!$D$8),A74&gt;=Setup!$D$6,A74&lt;(Setup!$D$8+1),B74&lt;&gt;"",OR(C74="Income",C74="Bill",C74="Living",C74="Transfer",C74="Card payment",C74="Fund bill"),OR(D74="In",D74="Out"),ISNUMBER(E74),E74&gt;=0,OR(F74="Scheduled",F74="Posted"),OR(G74="Verified",G74="Assumed"),H74&lt;&gt;""),"OK","CHECK"))))</f>
        <v/>
      </c>
    </row>
    <row r="75" spans="1:9" ht="42.95" customHeight="1">
      <c r="A75" s="6"/>
      <c r="B75" s="7"/>
      <c r="C75" s="7"/>
      <c r="D75" s="7"/>
      <c r="E75" s="8"/>
      <c r="F75" s="7"/>
      <c r="G75" s="7"/>
      <c r="H75" s="7"/>
      <c r="I75" s="9" t="str">
        <f>IF(COUNTA(A75:H75)=0,"",IF(F75="Canceled","EXCLUDED",IF(AND(F75="Delayed",D75="In",B75&lt;&gt;"",H75&lt;&gt;""),"DELAYED",IF(AND(ISNUMBER(A75),ISNUMBER(Setup!$D$6),ISNUMBER(Setup!$D$8),A75&gt;=Setup!$D$6,A75&lt;(Setup!$D$8+1),B75&lt;&gt;"",OR(C75="Income",C75="Bill",C75="Living",C75="Transfer",C75="Card payment",C75="Fund bill"),OR(D75="In",D75="Out"),ISNUMBER(E75),E75&gt;=0,OR(F75="Scheduled",F75="Posted"),OR(G75="Verified",G75="Assumed"),H75&lt;&gt;""),"OK","CHECK"))))</f>
        <v/>
      </c>
    </row>
    <row r="76" spans="1:9" ht="42.95" customHeight="1">
      <c r="A76" s="6"/>
      <c r="B76" s="7"/>
      <c r="C76" s="7"/>
      <c r="D76" s="7"/>
      <c r="E76" s="8"/>
      <c r="F76" s="7"/>
      <c r="G76" s="7"/>
      <c r="H76" s="7"/>
      <c r="I76" s="9" t="str">
        <f>IF(COUNTA(A76:H76)=0,"",IF(F76="Canceled","EXCLUDED",IF(AND(F76="Delayed",D76="In",B76&lt;&gt;"",H76&lt;&gt;""),"DELAYED",IF(AND(ISNUMBER(A76),ISNUMBER(Setup!$D$6),ISNUMBER(Setup!$D$8),A76&gt;=Setup!$D$6,A76&lt;(Setup!$D$8+1),B76&lt;&gt;"",OR(C76="Income",C76="Bill",C76="Living",C76="Transfer",C76="Card payment",C76="Fund bill"),OR(D76="In",D76="Out"),ISNUMBER(E76),E76&gt;=0,OR(F76="Scheduled",F76="Posted"),OR(G76="Verified",G76="Assumed"),H76&lt;&gt;""),"OK","CHECK"))))</f>
        <v/>
      </c>
    </row>
    <row r="77" spans="1:9" ht="42.95" customHeight="1">
      <c r="A77" s="6"/>
      <c r="B77" s="7"/>
      <c r="C77" s="7"/>
      <c r="D77" s="7"/>
      <c r="E77" s="8"/>
      <c r="F77" s="7"/>
      <c r="G77" s="7"/>
      <c r="H77" s="7"/>
      <c r="I77" s="9" t="str">
        <f>IF(COUNTA(A77:H77)=0,"",IF(F77="Canceled","EXCLUDED",IF(AND(F77="Delayed",D77="In",B77&lt;&gt;"",H77&lt;&gt;""),"DELAYED",IF(AND(ISNUMBER(A77),ISNUMBER(Setup!$D$6),ISNUMBER(Setup!$D$8),A77&gt;=Setup!$D$6,A77&lt;(Setup!$D$8+1),B77&lt;&gt;"",OR(C77="Income",C77="Bill",C77="Living",C77="Transfer",C77="Card payment",C77="Fund bill"),OR(D77="In",D77="Out"),ISNUMBER(E77),E77&gt;=0,OR(F77="Scheduled",F77="Posted"),OR(G77="Verified",G77="Assumed"),H77&lt;&gt;""),"OK","CHECK"))))</f>
        <v/>
      </c>
    </row>
    <row r="78" spans="1:9" ht="42.95" customHeight="1">
      <c r="A78" s="6"/>
      <c r="B78" s="7"/>
      <c r="C78" s="7"/>
      <c r="D78" s="7"/>
      <c r="E78" s="8"/>
      <c r="F78" s="7"/>
      <c r="G78" s="7"/>
      <c r="H78" s="7"/>
      <c r="I78" s="9" t="str">
        <f>IF(COUNTA(A78:H78)=0,"",IF(F78="Canceled","EXCLUDED",IF(AND(F78="Delayed",D78="In",B78&lt;&gt;"",H78&lt;&gt;""),"DELAYED",IF(AND(ISNUMBER(A78),ISNUMBER(Setup!$D$6),ISNUMBER(Setup!$D$8),A78&gt;=Setup!$D$6,A78&lt;(Setup!$D$8+1),B78&lt;&gt;"",OR(C78="Income",C78="Bill",C78="Living",C78="Transfer",C78="Card payment",C78="Fund bill"),OR(D78="In",D78="Out"),ISNUMBER(E78),E78&gt;=0,OR(F78="Scheduled",F78="Posted"),OR(G78="Verified",G78="Assumed"),H78&lt;&gt;""),"OK","CHECK"))))</f>
        <v/>
      </c>
    </row>
    <row r="79" spans="1:9" ht="42.95" customHeight="1">
      <c r="A79" s="10"/>
      <c r="B79" s="11"/>
      <c r="C79" s="11"/>
      <c r="D79" s="11"/>
      <c r="E79" s="12"/>
      <c r="F79" s="11"/>
      <c r="G79" s="11"/>
      <c r="H79" s="11"/>
      <c r="I79" s="13" t="str">
        <f>IF(COUNTA(A79:H79)=0,"",IF(F79="Canceled","EXCLUDED",IF(AND(F79="Delayed",D79="In",B79&lt;&gt;"",H79&lt;&gt;""),"DELAYED",IF(AND(ISNUMBER(A79),ISNUMBER(Setup!$D$6),ISNUMBER(Setup!$D$8),A79&gt;=Setup!$D$6,A79&lt;(Setup!$D$8+1),B79&lt;&gt;"",OR(C79="Income",C79="Bill",C79="Living",C79="Transfer",C79="Card payment",C79="Fund bill"),OR(D79="In",D79="Out"),ISNUMBER(E79),E79&gt;=0,OR(F79="Scheduled",F79="Posted"),OR(G79="Verified",G79="Assumed"),H79&lt;&gt;""),"OK","CHECK"))))</f>
        <v/>
      </c>
    </row>
    <row r="80" spans="1:9" ht="24" customHeight="1">
      <c r="A80" s="1"/>
      <c r="B80" s="1"/>
      <c r="C80" s="1"/>
      <c r="D80" s="1"/>
      <c r="E80" s="1"/>
      <c r="F80" s="1"/>
      <c r="G80" s="1"/>
      <c r="H80" s="1"/>
      <c r="I80" s="1"/>
    </row>
    <row r="81" spans="1:9" ht="24" customHeight="1">
      <c r="A81" s="1"/>
      <c r="B81" s="1"/>
      <c r="C81" s="1"/>
      <c r="D81" s="1"/>
      <c r="E81" s="1"/>
      <c r="F81" s="1"/>
      <c r="G81" s="1"/>
      <c r="H81" s="1"/>
      <c r="I81" s="1"/>
    </row>
    <row r="82" spans="1:9" ht="24" customHeight="1">
      <c r="A82" s="1"/>
      <c r="B82" s="1"/>
      <c r="C82" s="1"/>
      <c r="D82" s="1"/>
      <c r="E82" s="1"/>
      <c r="F82" s="1"/>
      <c r="G82" s="1"/>
      <c r="H82" s="1"/>
      <c r="I82" s="1"/>
    </row>
    <row r="83" spans="1:9" ht="24" customHeight="1">
      <c r="A83" s="1"/>
      <c r="B83" s="1"/>
      <c r="C83" s="1"/>
      <c r="D83" s="1"/>
      <c r="E83" s="1"/>
      <c r="F83" s="1"/>
      <c r="G83" s="1"/>
      <c r="H83" s="1"/>
      <c r="I83" s="1"/>
    </row>
  </sheetData>
  <mergeCells count="2">
    <mergeCell ref="A1:I2"/>
    <mergeCell ref="A3:I4"/>
  </mergeCells>
  <conditionalFormatting sqref="I8:I79">
    <cfRule type="expression" dxfId="1" priority="1">
      <formula>LEFT(I8,5)="CHECK"</formula>
    </cfRule>
  </conditionalFormatting>
  <dataValidations count="4">
    <dataValidation type="list" sqref="C8:C79" xr:uid="{00000000-0002-0000-0200-000000000000}">
      <formula1>"Income,Bill,Living,Transfer,Card payment,Fund bill"</formula1>
    </dataValidation>
    <dataValidation type="list" sqref="D8:D79" xr:uid="{00000000-0002-0000-0200-000001000000}">
      <formula1>"In,Out"</formula1>
    </dataValidation>
    <dataValidation type="list" sqref="F8:F79" xr:uid="{00000000-0002-0000-0200-000002000000}">
      <formula1>"Scheduled,Posted,Delayed,Canceled"</formula1>
    </dataValidation>
    <dataValidation type="list" sqref="G8:G79" xr:uid="{00000000-0002-0000-0200-000003000000}">
      <formula1>"Verified,Assumed"</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2"/>
  <sheetViews>
    <sheetView showGridLines="0" workbookViewId="0"/>
  </sheetViews>
  <sheetFormatPr defaultRowHeight="14.25"/>
  <cols>
    <col min="1" max="1" width="17" customWidth="1"/>
    <col min="2" max="4" width="19" customWidth="1"/>
    <col min="5" max="6" width="21" customWidth="1"/>
    <col min="7" max="7" width="38" customWidth="1"/>
  </cols>
  <sheetData>
    <row r="1" spans="1:7" ht="26.1" customHeight="1">
      <c r="A1" s="21" t="s">
        <v>44</v>
      </c>
      <c r="B1" s="21"/>
      <c r="C1" s="21"/>
      <c r="D1" s="21"/>
      <c r="E1" s="21"/>
      <c r="F1" s="21"/>
      <c r="G1" s="21"/>
    </row>
    <row r="2" spans="1:7" ht="26.1" customHeight="1">
      <c r="A2" s="21"/>
      <c r="B2" s="21"/>
      <c r="C2" s="21"/>
      <c r="D2" s="21"/>
      <c r="E2" s="21"/>
      <c r="F2" s="21"/>
      <c r="G2" s="21"/>
    </row>
    <row r="3" spans="1:7" ht="24" customHeight="1">
      <c r="A3" s="22" t="s">
        <v>45</v>
      </c>
      <c r="B3" s="22"/>
      <c r="C3" s="22"/>
      <c r="D3" s="22"/>
      <c r="E3" s="22"/>
      <c r="F3" s="22"/>
      <c r="G3" s="22"/>
    </row>
    <row r="4" spans="1:7" ht="24" customHeight="1">
      <c r="A4" s="22"/>
      <c r="B4" s="22"/>
      <c r="C4" s="22"/>
      <c r="D4" s="22"/>
      <c r="E4" s="22"/>
      <c r="F4" s="22"/>
      <c r="G4" s="22"/>
    </row>
    <row r="5" spans="1:7" ht="24" customHeight="1">
      <c r="A5" s="1"/>
      <c r="B5" s="1"/>
      <c r="C5" s="1"/>
      <c r="D5" s="1"/>
      <c r="E5" s="1"/>
      <c r="F5" s="1"/>
      <c r="G5" s="1"/>
    </row>
    <row r="6" spans="1:7" ht="24" customHeight="1">
      <c r="A6" s="1"/>
      <c r="B6" s="1"/>
      <c r="C6" s="1"/>
      <c r="D6" s="1"/>
      <c r="E6" s="1"/>
      <c r="F6" s="1"/>
      <c r="G6" s="1"/>
    </row>
    <row r="7" spans="1:7" ht="39.950000000000003" customHeight="1">
      <c r="A7" s="3" t="s">
        <v>46</v>
      </c>
      <c r="B7" s="4" t="s">
        <v>47</v>
      </c>
      <c r="C7" s="4" t="s">
        <v>48</v>
      </c>
      <c r="D7" s="4" t="s">
        <v>49</v>
      </c>
      <c r="E7" s="4" t="s">
        <v>50</v>
      </c>
      <c r="F7" s="4" t="s">
        <v>51</v>
      </c>
      <c r="G7" s="5" t="s">
        <v>52</v>
      </c>
    </row>
    <row r="8" spans="1:7" ht="32.1" customHeight="1">
      <c r="A8" s="14" t="str">
        <f>IF(Setup!$D$30&lt;&gt;"OK","",IF(Setup!$D$6+0&lt;=Setup!$D$8,Setup!$D$6+0,""))</f>
        <v/>
      </c>
      <c r="B8" s="15" t="str">
        <f>IF(A8="","",IF(OR(Setup!$D$30&lt;&gt;"OK",COUNTIF(Events!$I$8:$I$79,"CHECK")&gt;0),"PENDING",Setup!$D$10))</f>
        <v/>
      </c>
      <c r="C8" s="15" t="str">
        <f>IF(A8="","",IF(OR(Setup!$D$30&lt;&gt;"OK",COUNTIF(Events!$I$8:$I$79,"CHECK")&gt;0),"PENDING",SUMIFS(Events!$E$8:$E$79,Events!$A$8:$A$79,"&gt;="&amp;A8,Events!$A$8:$A$79,"&lt;"&amp;(A8+1),Events!$D$8:$D$79,"In",Events!$I$8:$I$79,"OK")))</f>
        <v/>
      </c>
      <c r="D8" s="15" t="str">
        <f>IF(A8="","",IF(OR(Setup!$D$30&lt;&gt;"OK",COUNTIF(Events!$I$8:$I$79,"CHECK")&gt;0),"PENDING",SUMIFS(Events!$E$8:$E$79,Events!$A$8:$A$79,"&gt;="&amp;A8,Events!$A$8:$A$79,"&lt;"&amp;(A8+1),Events!$D$8:$D$79,"Out",Events!$I$8:$I$79,"OK")))</f>
        <v/>
      </c>
      <c r="E8" s="15" t="str">
        <f t="shared" ref="E8:E39" si="0">IF(A8="","",IF(AND(ISNUMBER(B8),ISNUMBER(C8),ISNUMBER(D8)),B8+C8-D8,"PENDING"))</f>
        <v/>
      </c>
      <c r="F8" s="15" t="str">
        <f>IF(A8="","",IF(ISNUMBER(E8),E8-Setup!$D$12,"PENDING"))</f>
        <v/>
      </c>
      <c r="G8" s="16" t="str">
        <f>IF(A8="","",IF(NOT(ISNUMBER(E8)),"COMPLETE INPUTS",IF(AND(C8&gt;0,D8&gt;0,COUNTIFS(Events!$A$8:$A$79,"&gt;="&amp;A8,Events!$A$8:$A$79,"&lt;"&amp;(A8+1),Events!$D$8:$D$79,"In",Events!$G$8:$G$79,"Assumed",Events!$I$8:$I$79,"OK")&gt;0),"VERIFY SAME-DAY ORDER",IF(E8&lt;0,"CASH SHORTAGE",IF(F8&lt;0,"BELOW CHOSEN FLOOR","")))))</f>
        <v/>
      </c>
    </row>
    <row r="9" spans="1:7" ht="32.1" customHeight="1">
      <c r="A9" s="14" t="str">
        <f>IF(Setup!$D$30&lt;&gt;"OK","",IF(Setup!$D$6+1&lt;=Setup!$D$8,Setup!$D$6+1,""))</f>
        <v/>
      </c>
      <c r="B9" s="15" t="str">
        <f>IF(A9="","",IF(OR(Setup!$D$30&lt;&gt;"OK",COUNTIF(Events!$I$8:$I$79,"CHECK")&gt;0),"PENDING",E8))</f>
        <v/>
      </c>
      <c r="C9" s="15" t="str">
        <f>IF(A9="","",IF(OR(Setup!$D$30&lt;&gt;"OK",COUNTIF(Events!$I$8:$I$79,"CHECK")&gt;0),"PENDING",SUMIFS(Events!$E$8:$E$79,Events!$A$8:$A$79,"&gt;="&amp;A9,Events!$A$8:$A$79,"&lt;"&amp;(A9+1),Events!$D$8:$D$79,"In",Events!$I$8:$I$79,"OK")))</f>
        <v/>
      </c>
      <c r="D9" s="15" t="str">
        <f>IF(A9="","",IF(OR(Setup!$D$30&lt;&gt;"OK",COUNTIF(Events!$I$8:$I$79,"CHECK")&gt;0),"PENDING",SUMIFS(Events!$E$8:$E$79,Events!$A$8:$A$79,"&gt;="&amp;A9,Events!$A$8:$A$79,"&lt;"&amp;(A9+1),Events!$D$8:$D$79,"Out",Events!$I$8:$I$79,"OK")))</f>
        <v/>
      </c>
      <c r="E9" s="15" t="str">
        <f t="shared" si="0"/>
        <v/>
      </c>
      <c r="F9" s="15" t="str">
        <f>IF(A9="","",IF(ISNUMBER(E9),E9-Setup!$D$12,"PENDING"))</f>
        <v/>
      </c>
      <c r="G9" s="16" t="str">
        <f>IF(A9="","",IF(NOT(ISNUMBER(E9)),"COMPLETE INPUTS",IF(AND(C9&gt;0,D9&gt;0,COUNTIFS(Events!$A$8:$A$79,"&gt;="&amp;A9,Events!$A$8:$A$79,"&lt;"&amp;(A9+1),Events!$D$8:$D$79,"In",Events!$G$8:$G$79,"Assumed",Events!$I$8:$I$79,"OK")&gt;0),"VERIFY SAME-DAY ORDER",IF(E9&lt;0,"CASH SHORTAGE",IF(F9&lt;0,"BELOW CHOSEN FLOOR","")))))</f>
        <v/>
      </c>
    </row>
    <row r="10" spans="1:7" ht="32.1" customHeight="1">
      <c r="A10" s="14" t="str">
        <f>IF(Setup!$D$30&lt;&gt;"OK","",IF(Setup!$D$6+2&lt;=Setup!$D$8,Setup!$D$6+2,""))</f>
        <v/>
      </c>
      <c r="B10" s="15" t="str">
        <f>IF(A10="","",IF(OR(Setup!$D$30&lt;&gt;"OK",COUNTIF(Events!$I$8:$I$79,"CHECK")&gt;0),"PENDING",E9))</f>
        <v/>
      </c>
      <c r="C10" s="15" t="str">
        <f>IF(A10="","",IF(OR(Setup!$D$30&lt;&gt;"OK",COUNTIF(Events!$I$8:$I$79,"CHECK")&gt;0),"PENDING",SUMIFS(Events!$E$8:$E$79,Events!$A$8:$A$79,"&gt;="&amp;A10,Events!$A$8:$A$79,"&lt;"&amp;(A10+1),Events!$D$8:$D$79,"In",Events!$I$8:$I$79,"OK")))</f>
        <v/>
      </c>
      <c r="D10" s="15" t="str">
        <f>IF(A10="","",IF(OR(Setup!$D$30&lt;&gt;"OK",COUNTIF(Events!$I$8:$I$79,"CHECK")&gt;0),"PENDING",SUMIFS(Events!$E$8:$E$79,Events!$A$8:$A$79,"&gt;="&amp;A10,Events!$A$8:$A$79,"&lt;"&amp;(A10+1),Events!$D$8:$D$79,"Out",Events!$I$8:$I$79,"OK")))</f>
        <v/>
      </c>
      <c r="E10" s="15" t="str">
        <f t="shared" si="0"/>
        <v/>
      </c>
      <c r="F10" s="15" t="str">
        <f>IF(A10="","",IF(ISNUMBER(E10),E10-Setup!$D$12,"PENDING"))</f>
        <v/>
      </c>
      <c r="G10" s="16" t="str">
        <f>IF(A10="","",IF(NOT(ISNUMBER(E10)),"COMPLETE INPUTS",IF(AND(C10&gt;0,D10&gt;0,COUNTIFS(Events!$A$8:$A$79,"&gt;="&amp;A10,Events!$A$8:$A$79,"&lt;"&amp;(A10+1),Events!$D$8:$D$79,"In",Events!$G$8:$G$79,"Assumed",Events!$I$8:$I$79,"OK")&gt;0),"VERIFY SAME-DAY ORDER",IF(E10&lt;0,"CASH SHORTAGE",IF(F10&lt;0,"BELOW CHOSEN FLOOR","")))))</f>
        <v/>
      </c>
    </row>
    <row r="11" spans="1:7" ht="32.1" customHeight="1">
      <c r="A11" s="14" t="str">
        <f>IF(Setup!$D$30&lt;&gt;"OK","",IF(Setup!$D$6+3&lt;=Setup!$D$8,Setup!$D$6+3,""))</f>
        <v/>
      </c>
      <c r="B11" s="15" t="str">
        <f>IF(A11="","",IF(OR(Setup!$D$30&lt;&gt;"OK",COUNTIF(Events!$I$8:$I$79,"CHECK")&gt;0),"PENDING",E10))</f>
        <v/>
      </c>
      <c r="C11" s="15" t="str">
        <f>IF(A11="","",IF(OR(Setup!$D$30&lt;&gt;"OK",COUNTIF(Events!$I$8:$I$79,"CHECK")&gt;0),"PENDING",SUMIFS(Events!$E$8:$E$79,Events!$A$8:$A$79,"&gt;="&amp;A11,Events!$A$8:$A$79,"&lt;"&amp;(A11+1),Events!$D$8:$D$79,"In",Events!$I$8:$I$79,"OK")))</f>
        <v/>
      </c>
      <c r="D11" s="15" t="str">
        <f>IF(A11="","",IF(OR(Setup!$D$30&lt;&gt;"OK",COUNTIF(Events!$I$8:$I$79,"CHECK")&gt;0),"PENDING",SUMIFS(Events!$E$8:$E$79,Events!$A$8:$A$79,"&gt;="&amp;A11,Events!$A$8:$A$79,"&lt;"&amp;(A11+1),Events!$D$8:$D$79,"Out",Events!$I$8:$I$79,"OK")))</f>
        <v/>
      </c>
      <c r="E11" s="15" t="str">
        <f t="shared" si="0"/>
        <v/>
      </c>
      <c r="F11" s="15" t="str">
        <f>IF(A11="","",IF(ISNUMBER(E11),E11-Setup!$D$12,"PENDING"))</f>
        <v/>
      </c>
      <c r="G11" s="16" t="str">
        <f>IF(A11="","",IF(NOT(ISNUMBER(E11)),"COMPLETE INPUTS",IF(AND(C11&gt;0,D11&gt;0,COUNTIFS(Events!$A$8:$A$79,"&gt;="&amp;A11,Events!$A$8:$A$79,"&lt;"&amp;(A11+1),Events!$D$8:$D$79,"In",Events!$G$8:$G$79,"Assumed",Events!$I$8:$I$79,"OK")&gt;0),"VERIFY SAME-DAY ORDER",IF(E11&lt;0,"CASH SHORTAGE",IF(F11&lt;0,"BELOW CHOSEN FLOOR","")))))</f>
        <v/>
      </c>
    </row>
    <row r="12" spans="1:7" ht="32.1" customHeight="1">
      <c r="A12" s="14" t="str">
        <f>IF(Setup!$D$30&lt;&gt;"OK","",IF(Setup!$D$6+4&lt;=Setup!$D$8,Setup!$D$6+4,""))</f>
        <v/>
      </c>
      <c r="B12" s="15" t="str">
        <f>IF(A12="","",IF(OR(Setup!$D$30&lt;&gt;"OK",COUNTIF(Events!$I$8:$I$79,"CHECK")&gt;0),"PENDING",E11))</f>
        <v/>
      </c>
      <c r="C12" s="15" t="str">
        <f>IF(A12="","",IF(OR(Setup!$D$30&lt;&gt;"OK",COUNTIF(Events!$I$8:$I$79,"CHECK")&gt;0),"PENDING",SUMIFS(Events!$E$8:$E$79,Events!$A$8:$A$79,"&gt;="&amp;A12,Events!$A$8:$A$79,"&lt;"&amp;(A12+1),Events!$D$8:$D$79,"In",Events!$I$8:$I$79,"OK")))</f>
        <v/>
      </c>
      <c r="D12" s="15" t="str">
        <f>IF(A12="","",IF(OR(Setup!$D$30&lt;&gt;"OK",COUNTIF(Events!$I$8:$I$79,"CHECK")&gt;0),"PENDING",SUMIFS(Events!$E$8:$E$79,Events!$A$8:$A$79,"&gt;="&amp;A12,Events!$A$8:$A$79,"&lt;"&amp;(A12+1),Events!$D$8:$D$79,"Out",Events!$I$8:$I$79,"OK")))</f>
        <v/>
      </c>
      <c r="E12" s="15" t="str">
        <f t="shared" si="0"/>
        <v/>
      </c>
      <c r="F12" s="15" t="str">
        <f>IF(A12="","",IF(ISNUMBER(E12),E12-Setup!$D$12,"PENDING"))</f>
        <v/>
      </c>
      <c r="G12" s="16" t="str">
        <f>IF(A12="","",IF(NOT(ISNUMBER(E12)),"COMPLETE INPUTS",IF(AND(C12&gt;0,D12&gt;0,COUNTIFS(Events!$A$8:$A$79,"&gt;="&amp;A12,Events!$A$8:$A$79,"&lt;"&amp;(A12+1),Events!$D$8:$D$79,"In",Events!$G$8:$G$79,"Assumed",Events!$I$8:$I$79,"OK")&gt;0),"VERIFY SAME-DAY ORDER",IF(E12&lt;0,"CASH SHORTAGE",IF(F12&lt;0,"BELOW CHOSEN FLOOR","")))))</f>
        <v/>
      </c>
    </row>
    <row r="13" spans="1:7" ht="32.1" customHeight="1">
      <c r="A13" s="14" t="str">
        <f>IF(Setup!$D$30&lt;&gt;"OK","",IF(Setup!$D$6+5&lt;=Setup!$D$8,Setup!$D$6+5,""))</f>
        <v/>
      </c>
      <c r="B13" s="15" t="str">
        <f>IF(A13="","",IF(OR(Setup!$D$30&lt;&gt;"OK",COUNTIF(Events!$I$8:$I$79,"CHECK")&gt;0),"PENDING",E12))</f>
        <v/>
      </c>
      <c r="C13" s="15" t="str">
        <f>IF(A13="","",IF(OR(Setup!$D$30&lt;&gt;"OK",COUNTIF(Events!$I$8:$I$79,"CHECK")&gt;0),"PENDING",SUMIFS(Events!$E$8:$E$79,Events!$A$8:$A$79,"&gt;="&amp;A13,Events!$A$8:$A$79,"&lt;"&amp;(A13+1),Events!$D$8:$D$79,"In",Events!$I$8:$I$79,"OK")))</f>
        <v/>
      </c>
      <c r="D13" s="15" t="str">
        <f>IF(A13="","",IF(OR(Setup!$D$30&lt;&gt;"OK",COUNTIF(Events!$I$8:$I$79,"CHECK")&gt;0),"PENDING",SUMIFS(Events!$E$8:$E$79,Events!$A$8:$A$79,"&gt;="&amp;A13,Events!$A$8:$A$79,"&lt;"&amp;(A13+1),Events!$D$8:$D$79,"Out",Events!$I$8:$I$79,"OK")))</f>
        <v/>
      </c>
      <c r="E13" s="15" t="str">
        <f t="shared" si="0"/>
        <v/>
      </c>
      <c r="F13" s="15" t="str">
        <f>IF(A13="","",IF(ISNUMBER(E13),E13-Setup!$D$12,"PENDING"))</f>
        <v/>
      </c>
      <c r="G13" s="16" t="str">
        <f>IF(A13="","",IF(NOT(ISNUMBER(E13)),"COMPLETE INPUTS",IF(AND(C13&gt;0,D13&gt;0,COUNTIFS(Events!$A$8:$A$79,"&gt;="&amp;A13,Events!$A$8:$A$79,"&lt;"&amp;(A13+1),Events!$D$8:$D$79,"In",Events!$G$8:$G$79,"Assumed",Events!$I$8:$I$79,"OK")&gt;0),"VERIFY SAME-DAY ORDER",IF(E13&lt;0,"CASH SHORTAGE",IF(F13&lt;0,"BELOW CHOSEN FLOOR","")))))</f>
        <v/>
      </c>
    </row>
    <row r="14" spans="1:7" ht="32.1" customHeight="1">
      <c r="A14" s="14" t="str">
        <f>IF(Setup!$D$30&lt;&gt;"OK","",IF(Setup!$D$6+6&lt;=Setup!$D$8,Setup!$D$6+6,""))</f>
        <v/>
      </c>
      <c r="B14" s="15" t="str">
        <f>IF(A14="","",IF(OR(Setup!$D$30&lt;&gt;"OK",COUNTIF(Events!$I$8:$I$79,"CHECK")&gt;0),"PENDING",E13))</f>
        <v/>
      </c>
      <c r="C14" s="15" t="str">
        <f>IF(A14="","",IF(OR(Setup!$D$30&lt;&gt;"OK",COUNTIF(Events!$I$8:$I$79,"CHECK")&gt;0),"PENDING",SUMIFS(Events!$E$8:$E$79,Events!$A$8:$A$79,"&gt;="&amp;A14,Events!$A$8:$A$79,"&lt;"&amp;(A14+1),Events!$D$8:$D$79,"In",Events!$I$8:$I$79,"OK")))</f>
        <v/>
      </c>
      <c r="D14" s="15" t="str">
        <f>IF(A14="","",IF(OR(Setup!$D$30&lt;&gt;"OK",COUNTIF(Events!$I$8:$I$79,"CHECK")&gt;0),"PENDING",SUMIFS(Events!$E$8:$E$79,Events!$A$8:$A$79,"&gt;="&amp;A14,Events!$A$8:$A$79,"&lt;"&amp;(A14+1),Events!$D$8:$D$79,"Out",Events!$I$8:$I$79,"OK")))</f>
        <v/>
      </c>
      <c r="E14" s="15" t="str">
        <f t="shared" si="0"/>
        <v/>
      </c>
      <c r="F14" s="15" t="str">
        <f>IF(A14="","",IF(ISNUMBER(E14),E14-Setup!$D$12,"PENDING"))</f>
        <v/>
      </c>
      <c r="G14" s="16" t="str">
        <f>IF(A14="","",IF(NOT(ISNUMBER(E14)),"COMPLETE INPUTS",IF(AND(C14&gt;0,D14&gt;0,COUNTIFS(Events!$A$8:$A$79,"&gt;="&amp;A14,Events!$A$8:$A$79,"&lt;"&amp;(A14+1),Events!$D$8:$D$79,"In",Events!$G$8:$G$79,"Assumed",Events!$I$8:$I$79,"OK")&gt;0),"VERIFY SAME-DAY ORDER",IF(E14&lt;0,"CASH SHORTAGE",IF(F14&lt;0,"BELOW CHOSEN FLOOR","")))))</f>
        <v/>
      </c>
    </row>
    <row r="15" spans="1:7" ht="32.1" customHeight="1">
      <c r="A15" s="14" t="str">
        <f>IF(Setup!$D$30&lt;&gt;"OK","",IF(Setup!$D$6+7&lt;=Setup!$D$8,Setup!$D$6+7,""))</f>
        <v/>
      </c>
      <c r="B15" s="15" t="str">
        <f>IF(A15="","",IF(OR(Setup!$D$30&lt;&gt;"OK",COUNTIF(Events!$I$8:$I$79,"CHECK")&gt;0),"PENDING",E14))</f>
        <v/>
      </c>
      <c r="C15" s="15" t="str">
        <f>IF(A15="","",IF(OR(Setup!$D$30&lt;&gt;"OK",COUNTIF(Events!$I$8:$I$79,"CHECK")&gt;0),"PENDING",SUMIFS(Events!$E$8:$E$79,Events!$A$8:$A$79,"&gt;="&amp;A15,Events!$A$8:$A$79,"&lt;"&amp;(A15+1),Events!$D$8:$D$79,"In",Events!$I$8:$I$79,"OK")))</f>
        <v/>
      </c>
      <c r="D15" s="15" t="str">
        <f>IF(A15="","",IF(OR(Setup!$D$30&lt;&gt;"OK",COUNTIF(Events!$I$8:$I$79,"CHECK")&gt;0),"PENDING",SUMIFS(Events!$E$8:$E$79,Events!$A$8:$A$79,"&gt;="&amp;A15,Events!$A$8:$A$79,"&lt;"&amp;(A15+1),Events!$D$8:$D$79,"Out",Events!$I$8:$I$79,"OK")))</f>
        <v/>
      </c>
      <c r="E15" s="15" t="str">
        <f t="shared" si="0"/>
        <v/>
      </c>
      <c r="F15" s="15" t="str">
        <f>IF(A15="","",IF(ISNUMBER(E15),E15-Setup!$D$12,"PENDING"))</f>
        <v/>
      </c>
      <c r="G15" s="16" t="str">
        <f>IF(A15="","",IF(NOT(ISNUMBER(E15)),"COMPLETE INPUTS",IF(AND(C15&gt;0,D15&gt;0,COUNTIFS(Events!$A$8:$A$79,"&gt;="&amp;A15,Events!$A$8:$A$79,"&lt;"&amp;(A15+1),Events!$D$8:$D$79,"In",Events!$G$8:$G$79,"Assumed",Events!$I$8:$I$79,"OK")&gt;0),"VERIFY SAME-DAY ORDER",IF(E15&lt;0,"CASH SHORTAGE",IF(F15&lt;0,"BELOW CHOSEN FLOOR","")))))</f>
        <v/>
      </c>
    </row>
    <row r="16" spans="1:7" ht="32.1" customHeight="1">
      <c r="A16" s="14" t="str">
        <f>IF(Setup!$D$30&lt;&gt;"OK","",IF(Setup!$D$6+8&lt;=Setup!$D$8,Setup!$D$6+8,""))</f>
        <v/>
      </c>
      <c r="B16" s="15" t="str">
        <f>IF(A16="","",IF(OR(Setup!$D$30&lt;&gt;"OK",COUNTIF(Events!$I$8:$I$79,"CHECK")&gt;0),"PENDING",E15))</f>
        <v/>
      </c>
      <c r="C16" s="15" t="str">
        <f>IF(A16="","",IF(OR(Setup!$D$30&lt;&gt;"OK",COUNTIF(Events!$I$8:$I$79,"CHECK")&gt;0),"PENDING",SUMIFS(Events!$E$8:$E$79,Events!$A$8:$A$79,"&gt;="&amp;A16,Events!$A$8:$A$79,"&lt;"&amp;(A16+1),Events!$D$8:$D$79,"In",Events!$I$8:$I$79,"OK")))</f>
        <v/>
      </c>
      <c r="D16" s="15" t="str">
        <f>IF(A16="","",IF(OR(Setup!$D$30&lt;&gt;"OK",COUNTIF(Events!$I$8:$I$79,"CHECK")&gt;0),"PENDING",SUMIFS(Events!$E$8:$E$79,Events!$A$8:$A$79,"&gt;="&amp;A16,Events!$A$8:$A$79,"&lt;"&amp;(A16+1),Events!$D$8:$D$79,"Out",Events!$I$8:$I$79,"OK")))</f>
        <v/>
      </c>
      <c r="E16" s="15" t="str">
        <f t="shared" si="0"/>
        <v/>
      </c>
      <c r="F16" s="15" t="str">
        <f>IF(A16="","",IF(ISNUMBER(E16),E16-Setup!$D$12,"PENDING"))</f>
        <v/>
      </c>
      <c r="G16" s="16" t="str">
        <f>IF(A16="","",IF(NOT(ISNUMBER(E16)),"COMPLETE INPUTS",IF(AND(C16&gt;0,D16&gt;0,COUNTIFS(Events!$A$8:$A$79,"&gt;="&amp;A16,Events!$A$8:$A$79,"&lt;"&amp;(A16+1),Events!$D$8:$D$79,"In",Events!$G$8:$G$79,"Assumed",Events!$I$8:$I$79,"OK")&gt;0),"VERIFY SAME-DAY ORDER",IF(E16&lt;0,"CASH SHORTAGE",IF(F16&lt;0,"BELOW CHOSEN FLOOR","")))))</f>
        <v/>
      </c>
    </row>
    <row r="17" spans="1:7" ht="32.1" customHeight="1">
      <c r="A17" s="14" t="str">
        <f>IF(Setup!$D$30&lt;&gt;"OK","",IF(Setup!$D$6+9&lt;=Setup!$D$8,Setup!$D$6+9,""))</f>
        <v/>
      </c>
      <c r="B17" s="15" t="str">
        <f>IF(A17="","",IF(OR(Setup!$D$30&lt;&gt;"OK",COUNTIF(Events!$I$8:$I$79,"CHECK")&gt;0),"PENDING",E16))</f>
        <v/>
      </c>
      <c r="C17" s="15" t="str">
        <f>IF(A17="","",IF(OR(Setup!$D$30&lt;&gt;"OK",COUNTIF(Events!$I$8:$I$79,"CHECK")&gt;0),"PENDING",SUMIFS(Events!$E$8:$E$79,Events!$A$8:$A$79,"&gt;="&amp;A17,Events!$A$8:$A$79,"&lt;"&amp;(A17+1),Events!$D$8:$D$79,"In",Events!$I$8:$I$79,"OK")))</f>
        <v/>
      </c>
      <c r="D17" s="15" t="str">
        <f>IF(A17="","",IF(OR(Setup!$D$30&lt;&gt;"OK",COUNTIF(Events!$I$8:$I$79,"CHECK")&gt;0),"PENDING",SUMIFS(Events!$E$8:$E$79,Events!$A$8:$A$79,"&gt;="&amp;A17,Events!$A$8:$A$79,"&lt;"&amp;(A17+1),Events!$D$8:$D$79,"Out",Events!$I$8:$I$79,"OK")))</f>
        <v/>
      </c>
      <c r="E17" s="15" t="str">
        <f t="shared" si="0"/>
        <v/>
      </c>
      <c r="F17" s="15" t="str">
        <f>IF(A17="","",IF(ISNUMBER(E17),E17-Setup!$D$12,"PENDING"))</f>
        <v/>
      </c>
      <c r="G17" s="16" t="str">
        <f>IF(A17="","",IF(NOT(ISNUMBER(E17)),"COMPLETE INPUTS",IF(AND(C17&gt;0,D17&gt;0,COUNTIFS(Events!$A$8:$A$79,"&gt;="&amp;A17,Events!$A$8:$A$79,"&lt;"&amp;(A17+1),Events!$D$8:$D$79,"In",Events!$G$8:$G$79,"Assumed",Events!$I$8:$I$79,"OK")&gt;0),"VERIFY SAME-DAY ORDER",IF(E17&lt;0,"CASH SHORTAGE",IF(F17&lt;0,"BELOW CHOSEN FLOOR","")))))</f>
        <v/>
      </c>
    </row>
    <row r="18" spans="1:7" ht="32.1" customHeight="1">
      <c r="A18" s="14" t="str">
        <f>IF(Setup!$D$30&lt;&gt;"OK","",IF(Setup!$D$6+10&lt;=Setup!$D$8,Setup!$D$6+10,""))</f>
        <v/>
      </c>
      <c r="B18" s="15" t="str">
        <f>IF(A18="","",IF(OR(Setup!$D$30&lt;&gt;"OK",COUNTIF(Events!$I$8:$I$79,"CHECK")&gt;0),"PENDING",E17))</f>
        <v/>
      </c>
      <c r="C18" s="15" t="str">
        <f>IF(A18="","",IF(OR(Setup!$D$30&lt;&gt;"OK",COUNTIF(Events!$I$8:$I$79,"CHECK")&gt;0),"PENDING",SUMIFS(Events!$E$8:$E$79,Events!$A$8:$A$79,"&gt;="&amp;A18,Events!$A$8:$A$79,"&lt;"&amp;(A18+1),Events!$D$8:$D$79,"In",Events!$I$8:$I$79,"OK")))</f>
        <v/>
      </c>
      <c r="D18" s="15" t="str">
        <f>IF(A18="","",IF(OR(Setup!$D$30&lt;&gt;"OK",COUNTIF(Events!$I$8:$I$79,"CHECK")&gt;0),"PENDING",SUMIFS(Events!$E$8:$E$79,Events!$A$8:$A$79,"&gt;="&amp;A18,Events!$A$8:$A$79,"&lt;"&amp;(A18+1),Events!$D$8:$D$79,"Out",Events!$I$8:$I$79,"OK")))</f>
        <v/>
      </c>
      <c r="E18" s="15" t="str">
        <f t="shared" si="0"/>
        <v/>
      </c>
      <c r="F18" s="15" t="str">
        <f>IF(A18="","",IF(ISNUMBER(E18),E18-Setup!$D$12,"PENDING"))</f>
        <v/>
      </c>
      <c r="G18" s="16" t="str">
        <f>IF(A18="","",IF(NOT(ISNUMBER(E18)),"COMPLETE INPUTS",IF(AND(C18&gt;0,D18&gt;0,COUNTIFS(Events!$A$8:$A$79,"&gt;="&amp;A18,Events!$A$8:$A$79,"&lt;"&amp;(A18+1),Events!$D$8:$D$79,"In",Events!$G$8:$G$79,"Assumed",Events!$I$8:$I$79,"OK")&gt;0),"VERIFY SAME-DAY ORDER",IF(E18&lt;0,"CASH SHORTAGE",IF(F18&lt;0,"BELOW CHOSEN FLOOR","")))))</f>
        <v/>
      </c>
    </row>
    <row r="19" spans="1:7" ht="32.1" customHeight="1">
      <c r="A19" s="14" t="str">
        <f>IF(Setup!$D$30&lt;&gt;"OK","",IF(Setup!$D$6+11&lt;=Setup!$D$8,Setup!$D$6+11,""))</f>
        <v/>
      </c>
      <c r="B19" s="15" t="str">
        <f>IF(A19="","",IF(OR(Setup!$D$30&lt;&gt;"OK",COUNTIF(Events!$I$8:$I$79,"CHECK")&gt;0),"PENDING",E18))</f>
        <v/>
      </c>
      <c r="C19" s="15" t="str">
        <f>IF(A19="","",IF(OR(Setup!$D$30&lt;&gt;"OK",COUNTIF(Events!$I$8:$I$79,"CHECK")&gt;0),"PENDING",SUMIFS(Events!$E$8:$E$79,Events!$A$8:$A$79,"&gt;="&amp;A19,Events!$A$8:$A$79,"&lt;"&amp;(A19+1),Events!$D$8:$D$79,"In",Events!$I$8:$I$79,"OK")))</f>
        <v/>
      </c>
      <c r="D19" s="15" t="str">
        <f>IF(A19="","",IF(OR(Setup!$D$30&lt;&gt;"OK",COUNTIF(Events!$I$8:$I$79,"CHECK")&gt;0),"PENDING",SUMIFS(Events!$E$8:$E$79,Events!$A$8:$A$79,"&gt;="&amp;A19,Events!$A$8:$A$79,"&lt;"&amp;(A19+1),Events!$D$8:$D$79,"Out",Events!$I$8:$I$79,"OK")))</f>
        <v/>
      </c>
      <c r="E19" s="15" t="str">
        <f t="shared" si="0"/>
        <v/>
      </c>
      <c r="F19" s="15" t="str">
        <f>IF(A19="","",IF(ISNUMBER(E19),E19-Setup!$D$12,"PENDING"))</f>
        <v/>
      </c>
      <c r="G19" s="16" t="str">
        <f>IF(A19="","",IF(NOT(ISNUMBER(E19)),"COMPLETE INPUTS",IF(AND(C19&gt;0,D19&gt;0,COUNTIFS(Events!$A$8:$A$79,"&gt;="&amp;A19,Events!$A$8:$A$79,"&lt;"&amp;(A19+1),Events!$D$8:$D$79,"In",Events!$G$8:$G$79,"Assumed",Events!$I$8:$I$79,"OK")&gt;0),"VERIFY SAME-DAY ORDER",IF(E19&lt;0,"CASH SHORTAGE",IF(F19&lt;0,"BELOW CHOSEN FLOOR","")))))</f>
        <v/>
      </c>
    </row>
    <row r="20" spans="1:7" ht="32.1" customHeight="1">
      <c r="A20" s="14" t="str">
        <f>IF(Setup!$D$30&lt;&gt;"OK","",IF(Setup!$D$6+12&lt;=Setup!$D$8,Setup!$D$6+12,""))</f>
        <v/>
      </c>
      <c r="B20" s="15" t="str">
        <f>IF(A20="","",IF(OR(Setup!$D$30&lt;&gt;"OK",COUNTIF(Events!$I$8:$I$79,"CHECK")&gt;0),"PENDING",E19))</f>
        <v/>
      </c>
      <c r="C20" s="15" t="str">
        <f>IF(A20="","",IF(OR(Setup!$D$30&lt;&gt;"OK",COUNTIF(Events!$I$8:$I$79,"CHECK")&gt;0),"PENDING",SUMIFS(Events!$E$8:$E$79,Events!$A$8:$A$79,"&gt;="&amp;A20,Events!$A$8:$A$79,"&lt;"&amp;(A20+1),Events!$D$8:$D$79,"In",Events!$I$8:$I$79,"OK")))</f>
        <v/>
      </c>
      <c r="D20" s="15" t="str">
        <f>IF(A20="","",IF(OR(Setup!$D$30&lt;&gt;"OK",COUNTIF(Events!$I$8:$I$79,"CHECK")&gt;0),"PENDING",SUMIFS(Events!$E$8:$E$79,Events!$A$8:$A$79,"&gt;="&amp;A20,Events!$A$8:$A$79,"&lt;"&amp;(A20+1),Events!$D$8:$D$79,"Out",Events!$I$8:$I$79,"OK")))</f>
        <v/>
      </c>
      <c r="E20" s="15" t="str">
        <f t="shared" si="0"/>
        <v/>
      </c>
      <c r="F20" s="15" t="str">
        <f>IF(A20="","",IF(ISNUMBER(E20),E20-Setup!$D$12,"PENDING"))</f>
        <v/>
      </c>
      <c r="G20" s="16" t="str">
        <f>IF(A20="","",IF(NOT(ISNUMBER(E20)),"COMPLETE INPUTS",IF(AND(C20&gt;0,D20&gt;0,COUNTIFS(Events!$A$8:$A$79,"&gt;="&amp;A20,Events!$A$8:$A$79,"&lt;"&amp;(A20+1),Events!$D$8:$D$79,"In",Events!$G$8:$G$79,"Assumed",Events!$I$8:$I$79,"OK")&gt;0),"VERIFY SAME-DAY ORDER",IF(E20&lt;0,"CASH SHORTAGE",IF(F20&lt;0,"BELOW CHOSEN FLOOR","")))))</f>
        <v/>
      </c>
    </row>
    <row r="21" spans="1:7" ht="32.1" customHeight="1">
      <c r="A21" s="14" t="str">
        <f>IF(Setup!$D$30&lt;&gt;"OK","",IF(Setup!$D$6+13&lt;=Setup!$D$8,Setup!$D$6+13,""))</f>
        <v/>
      </c>
      <c r="B21" s="15" t="str">
        <f>IF(A21="","",IF(OR(Setup!$D$30&lt;&gt;"OK",COUNTIF(Events!$I$8:$I$79,"CHECK")&gt;0),"PENDING",E20))</f>
        <v/>
      </c>
      <c r="C21" s="15" t="str">
        <f>IF(A21="","",IF(OR(Setup!$D$30&lt;&gt;"OK",COUNTIF(Events!$I$8:$I$79,"CHECK")&gt;0),"PENDING",SUMIFS(Events!$E$8:$E$79,Events!$A$8:$A$79,"&gt;="&amp;A21,Events!$A$8:$A$79,"&lt;"&amp;(A21+1),Events!$D$8:$D$79,"In",Events!$I$8:$I$79,"OK")))</f>
        <v/>
      </c>
      <c r="D21" s="15" t="str">
        <f>IF(A21="","",IF(OR(Setup!$D$30&lt;&gt;"OK",COUNTIF(Events!$I$8:$I$79,"CHECK")&gt;0),"PENDING",SUMIFS(Events!$E$8:$E$79,Events!$A$8:$A$79,"&gt;="&amp;A21,Events!$A$8:$A$79,"&lt;"&amp;(A21+1),Events!$D$8:$D$79,"Out",Events!$I$8:$I$79,"OK")))</f>
        <v/>
      </c>
      <c r="E21" s="15" t="str">
        <f t="shared" si="0"/>
        <v/>
      </c>
      <c r="F21" s="15" t="str">
        <f>IF(A21="","",IF(ISNUMBER(E21),E21-Setup!$D$12,"PENDING"))</f>
        <v/>
      </c>
      <c r="G21" s="16" t="str">
        <f>IF(A21="","",IF(NOT(ISNUMBER(E21)),"COMPLETE INPUTS",IF(AND(C21&gt;0,D21&gt;0,COUNTIFS(Events!$A$8:$A$79,"&gt;="&amp;A21,Events!$A$8:$A$79,"&lt;"&amp;(A21+1),Events!$D$8:$D$79,"In",Events!$G$8:$G$79,"Assumed",Events!$I$8:$I$79,"OK")&gt;0),"VERIFY SAME-DAY ORDER",IF(E21&lt;0,"CASH SHORTAGE",IF(F21&lt;0,"BELOW CHOSEN FLOOR","")))))</f>
        <v/>
      </c>
    </row>
    <row r="22" spans="1:7" ht="32.1" customHeight="1">
      <c r="A22" s="14" t="str">
        <f>IF(Setup!$D$30&lt;&gt;"OK","",IF(Setup!$D$6+14&lt;=Setup!$D$8,Setup!$D$6+14,""))</f>
        <v/>
      </c>
      <c r="B22" s="15" t="str">
        <f>IF(A22="","",IF(OR(Setup!$D$30&lt;&gt;"OK",COUNTIF(Events!$I$8:$I$79,"CHECK")&gt;0),"PENDING",E21))</f>
        <v/>
      </c>
      <c r="C22" s="15" t="str">
        <f>IF(A22="","",IF(OR(Setup!$D$30&lt;&gt;"OK",COUNTIF(Events!$I$8:$I$79,"CHECK")&gt;0),"PENDING",SUMIFS(Events!$E$8:$E$79,Events!$A$8:$A$79,"&gt;="&amp;A22,Events!$A$8:$A$79,"&lt;"&amp;(A22+1),Events!$D$8:$D$79,"In",Events!$I$8:$I$79,"OK")))</f>
        <v/>
      </c>
      <c r="D22" s="15" t="str">
        <f>IF(A22="","",IF(OR(Setup!$D$30&lt;&gt;"OK",COUNTIF(Events!$I$8:$I$79,"CHECK")&gt;0),"PENDING",SUMIFS(Events!$E$8:$E$79,Events!$A$8:$A$79,"&gt;="&amp;A22,Events!$A$8:$A$79,"&lt;"&amp;(A22+1),Events!$D$8:$D$79,"Out",Events!$I$8:$I$79,"OK")))</f>
        <v/>
      </c>
      <c r="E22" s="15" t="str">
        <f t="shared" si="0"/>
        <v/>
      </c>
      <c r="F22" s="15" t="str">
        <f>IF(A22="","",IF(ISNUMBER(E22),E22-Setup!$D$12,"PENDING"))</f>
        <v/>
      </c>
      <c r="G22" s="16" t="str">
        <f>IF(A22="","",IF(NOT(ISNUMBER(E22)),"COMPLETE INPUTS",IF(AND(C22&gt;0,D22&gt;0,COUNTIFS(Events!$A$8:$A$79,"&gt;="&amp;A22,Events!$A$8:$A$79,"&lt;"&amp;(A22+1),Events!$D$8:$D$79,"In",Events!$G$8:$G$79,"Assumed",Events!$I$8:$I$79,"OK")&gt;0),"VERIFY SAME-DAY ORDER",IF(E22&lt;0,"CASH SHORTAGE",IF(F22&lt;0,"BELOW CHOSEN FLOOR","")))))</f>
        <v/>
      </c>
    </row>
    <row r="23" spans="1:7" ht="32.1" customHeight="1">
      <c r="A23" s="14" t="str">
        <f>IF(Setup!$D$30&lt;&gt;"OK","",IF(Setup!$D$6+15&lt;=Setup!$D$8,Setup!$D$6+15,""))</f>
        <v/>
      </c>
      <c r="B23" s="15" t="str">
        <f>IF(A23="","",IF(OR(Setup!$D$30&lt;&gt;"OK",COUNTIF(Events!$I$8:$I$79,"CHECK")&gt;0),"PENDING",E22))</f>
        <v/>
      </c>
      <c r="C23" s="15" t="str">
        <f>IF(A23="","",IF(OR(Setup!$D$30&lt;&gt;"OK",COUNTIF(Events!$I$8:$I$79,"CHECK")&gt;0),"PENDING",SUMIFS(Events!$E$8:$E$79,Events!$A$8:$A$79,"&gt;="&amp;A23,Events!$A$8:$A$79,"&lt;"&amp;(A23+1),Events!$D$8:$D$79,"In",Events!$I$8:$I$79,"OK")))</f>
        <v/>
      </c>
      <c r="D23" s="15" t="str">
        <f>IF(A23="","",IF(OR(Setup!$D$30&lt;&gt;"OK",COUNTIF(Events!$I$8:$I$79,"CHECK")&gt;0),"PENDING",SUMIFS(Events!$E$8:$E$79,Events!$A$8:$A$79,"&gt;="&amp;A23,Events!$A$8:$A$79,"&lt;"&amp;(A23+1),Events!$D$8:$D$79,"Out",Events!$I$8:$I$79,"OK")))</f>
        <v/>
      </c>
      <c r="E23" s="15" t="str">
        <f t="shared" si="0"/>
        <v/>
      </c>
      <c r="F23" s="15" t="str">
        <f>IF(A23="","",IF(ISNUMBER(E23),E23-Setup!$D$12,"PENDING"))</f>
        <v/>
      </c>
      <c r="G23" s="16" t="str">
        <f>IF(A23="","",IF(NOT(ISNUMBER(E23)),"COMPLETE INPUTS",IF(AND(C23&gt;0,D23&gt;0,COUNTIFS(Events!$A$8:$A$79,"&gt;="&amp;A23,Events!$A$8:$A$79,"&lt;"&amp;(A23+1),Events!$D$8:$D$79,"In",Events!$G$8:$G$79,"Assumed",Events!$I$8:$I$79,"OK")&gt;0),"VERIFY SAME-DAY ORDER",IF(E23&lt;0,"CASH SHORTAGE",IF(F23&lt;0,"BELOW CHOSEN FLOOR","")))))</f>
        <v/>
      </c>
    </row>
    <row r="24" spans="1:7" ht="32.1" customHeight="1">
      <c r="A24" s="14" t="str">
        <f>IF(Setup!$D$30&lt;&gt;"OK","",IF(Setup!$D$6+16&lt;=Setup!$D$8,Setup!$D$6+16,""))</f>
        <v/>
      </c>
      <c r="B24" s="15" t="str">
        <f>IF(A24="","",IF(OR(Setup!$D$30&lt;&gt;"OK",COUNTIF(Events!$I$8:$I$79,"CHECK")&gt;0),"PENDING",E23))</f>
        <v/>
      </c>
      <c r="C24" s="15" t="str">
        <f>IF(A24="","",IF(OR(Setup!$D$30&lt;&gt;"OK",COUNTIF(Events!$I$8:$I$79,"CHECK")&gt;0),"PENDING",SUMIFS(Events!$E$8:$E$79,Events!$A$8:$A$79,"&gt;="&amp;A24,Events!$A$8:$A$79,"&lt;"&amp;(A24+1),Events!$D$8:$D$79,"In",Events!$I$8:$I$79,"OK")))</f>
        <v/>
      </c>
      <c r="D24" s="15" t="str">
        <f>IF(A24="","",IF(OR(Setup!$D$30&lt;&gt;"OK",COUNTIF(Events!$I$8:$I$79,"CHECK")&gt;0),"PENDING",SUMIFS(Events!$E$8:$E$79,Events!$A$8:$A$79,"&gt;="&amp;A24,Events!$A$8:$A$79,"&lt;"&amp;(A24+1),Events!$D$8:$D$79,"Out",Events!$I$8:$I$79,"OK")))</f>
        <v/>
      </c>
      <c r="E24" s="15" t="str">
        <f t="shared" si="0"/>
        <v/>
      </c>
      <c r="F24" s="15" t="str">
        <f>IF(A24="","",IF(ISNUMBER(E24),E24-Setup!$D$12,"PENDING"))</f>
        <v/>
      </c>
      <c r="G24" s="16" t="str">
        <f>IF(A24="","",IF(NOT(ISNUMBER(E24)),"COMPLETE INPUTS",IF(AND(C24&gt;0,D24&gt;0,COUNTIFS(Events!$A$8:$A$79,"&gt;="&amp;A24,Events!$A$8:$A$79,"&lt;"&amp;(A24+1),Events!$D$8:$D$79,"In",Events!$G$8:$G$79,"Assumed",Events!$I$8:$I$79,"OK")&gt;0),"VERIFY SAME-DAY ORDER",IF(E24&lt;0,"CASH SHORTAGE",IF(F24&lt;0,"BELOW CHOSEN FLOOR","")))))</f>
        <v/>
      </c>
    </row>
    <row r="25" spans="1:7" ht="32.1" customHeight="1">
      <c r="A25" s="14" t="str">
        <f>IF(Setup!$D$30&lt;&gt;"OK","",IF(Setup!$D$6+17&lt;=Setup!$D$8,Setup!$D$6+17,""))</f>
        <v/>
      </c>
      <c r="B25" s="15" t="str">
        <f>IF(A25="","",IF(OR(Setup!$D$30&lt;&gt;"OK",COUNTIF(Events!$I$8:$I$79,"CHECK")&gt;0),"PENDING",E24))</f>
        <v/>
      </c>
      <c r="C25" s="15" t="str">
        <f>IF(A25="","",IF(OR(Setup!$D$30&lt;&gt;"OK",COUNTIF(Events!$I$8:$I$79,"CHECK")&gt;0),"PENDING",SUMIFS(Events!$E$8:$E$79,Events!$A$8:$A$79,"&gt;="&amp;A25,Events!$A$8:$A$79,"&lt;"&amp;(A25+1),Events!$D$8:$D$79,"In",Events!$I$8:$I$79,"OK")))</f>
        <v/>
      </c>
      <c r="D25" s="15" t="str">
        <f>IF(A25="","",IF(OR(Setup!$D$30&lt;&gt;"OK",COUNTIF(Events!$I$8:$I$79,"CHECK")&gt;0),"PENDING",SUMIFS(Events!$E$8:$E$79,Events!$A$8:$A$79,"&gt;="&amp;A25,Events!$A$8:$A$79,"&lt;"&amp;(A25+1),Events!$D$8:$D$79,"Out",Events!$I$8:$I$79,"OK")))</f>
        <v/>
      </c>
      <c r="E25" s="15" t="str">
        <f t="shared" si="0"/>
        <v/>
      </c>
      <c r="F25" s="15" t="str">
        <f>IF(A25="","",IF(ISNUMBER(E25),E25-Setup!$D$12,"PENDING"))</f>
        <v/>
      </c>
      <c r="G25" s="16" t="str">
        <f>IF(A25="","",IF(NOT(ISNUMBER(E25)),"COMPLETE INPUTS",IF(AND(C25&gt;0,D25&gt;0,COUNTIFS(Events!$A$8:$A$79,"&gt;="&amp;A25,Events!$A$8:$A$79,"&lt;"&amp;(A25+1),Events!$D$8:$D$79,"In",Events!$G$8:$G$79,"Assumed",Events!$I$8:$I$79,"OK")&gt;0),"VERIFY SAME-DAY ORDER",IF(E25&lt;0,"CASH SHORTAGE",IF(F25&lt;0,"BELOW CHOSEN FLOOR","")))))</f>
        <v/>
      </c>
    </row>
    <row r="26" spans="1:7" ht="32.1" customHeight="1">
      <c r="A26" s="14" t="str">
        <f>IF(Setup!$D$30&lt;&gt;"OK","",IF(Setup!$D$6+18&lt;=Setup!$D$8,Setup!$D$6+18,""))</f>
        <v/>
      </c>
      <c r="B26" s="15" t="str">
        <f>IF(A26="","",IF(OR(Setup!$D$30&lt;&gt;"OK",COUNTIF(Events!$I$8:$I$79,"CHECK")&gt;0),"PENDING",E25))</f>
        <v/>
      </c>
      <c r="C26" s="15" t="str">
        <f>IF(A26="","",IF(OR(Setup!$D$30&lt;&gt;"OK",COUNTIF(Events!$I$8:$I$79,"CHECK")&gt;0),"PENDING",SUMIFS(Events!$E$8:$E$79,Events!$A$8:$A$79,"&gt;="&amp;A26,Events!$A$8:$A$79,"&lt;"&amp;(A26+1),Events!$D$8:$D$79,"In",Events!$I$8:$I$79,"OK")))</f>
        <v/>
      </c>
      <c r="D26" s="15" t="str">
        <f>IF(A26="","",IF(OR(Setup!$D$30&lt;&gt;"OK",COUNTIF(Events!$I$8:$I$79,"CHECK")&gt;0),"PENDING",SUMIFS(Events!$E$8:$E$79,Events!$A$8:$A$79,"&gt;="&amp;A26,Events!$A$8:$A$79,"&lt;"&amp;(A26+1),Events!$D$8:$D$79,"Out",Events!$I$8:$I$79,"OK")))</f>
        <v/>
      </c>
      <c r="E26" s="15" t="str">
        <f t="shared" si="0"/>
        <v/>
      </c>
      <c r="F26" s="15" t="str">
        <f>IF(A26="","",IF(ISNUMBER(E26),E26-Setup!$D$12,"PENDING"))</f>
        <v/>
      </c>
      <c r="G26" s="16" t="str">
        <f>IF(A26="","",IF(NOT(ISNUMBER(E26)),"COMPLETE INPUTS",IF(AND(C26&gt;0,D26&gt;0,COUNTIFS(Events!$A$8:$A$79,"&gt;="&amp;A26,Events!$A$8:$A$79,"&lt;"&amp;(A26+1),Events!$D$8:$D$79,"In",Events!$G$8:$G$79,"Assumed",Events!$I$8:$I$79,"OK")&gt;0),"VERIFY SAME-DAY ORDER",IF(E26&lt;0,"CASH SHORTAGE",IF(F26&lt;0,"BELOW CHOSEN FLOOR","")))))</f>
        <v/>
      </c>
    </row>
    <row r="27" spans="1:7" ht="32.1" customHeight="1">
      <c r="A27" s="14" t="str">
        <f>IF(Setup!$D$30&lt;&gt;"OK","",IF(Setup!$D$6+19&lt;=Setup!$D$8,Setup!$D$6+19,""))</f>
        <v/>
      </c>
      <c r="B27" s="15" t="str">
        <f>IF(A27="","",IF(OR(Setup!$D$30&lt;&gt;"OK",COUNTIF(Events!$I$8:$I$79,"CHECK")&gt;0),"PENDING",E26))</f>
        <v/>
      </c>
      <c r="C27" s="15" t="str">
        <f>IF(A27="","",IF(OR(Setup!$D$30&lt;&gt;"OK",COUNTIF(Events!$I$8:$I$79,"CHECK")&gt;0),"PENDING",SUMIFS(Events!$E$8:$E$79,Events!$A$8:$A$79,"&gt;="&amp;A27,Events!$A$8:$A$79,"&lt;"&amp;(A27+1),Events!$D$8:$D$79,"In",Events!$I$8:$I$79,"OK")))</f>
        <v/>
      </c>
      <c r="D27" s="15" t="str">
        <f>IF(A27="","",IF(OR(Setup!$D$30&lt;&gt;"OK",COUNTIF(Events!$I$8:$I$79,"CHECK")&gt;0),"PENDING",SUMIFS(Events!$E$8:$E$79,Events!$A$8:$A$79,"&gt;="&amp;A27,Events!$A$8:$A$79,"&lt;"&amp;(A27+1),Events!$D$8:$D$79,"Out",Events!$I$8:$I$79,"OK")))</f>
        <v/>
      </c>
      <c r="E27" s="15" t="str">
        <f t="shared" si="0"/>
        <v/>
      </c>
      <c r="F27" s="15" t="str">
        <f>IF(A27="","",IF(ISNUMBER(E27),E27-Setup!$D$12,"PENDING"))</f>
        <v/>
      </c>
      <c r="G27" s="16" t="str">
        <f>IF(A27="","",IF(NOT(ISNUMBER(E27)),"COMPLETE INPUTS",IF(AND(C27&gt;0,D27&gt;0,COUNTIFS(Events!$A$8:$A$79,"&gt;="&amp;A27,Events!$A$8:$A$79,"&lt;"&amp;(A27+1),Events!$D$8:$D$79,"In",Events!$G$8:$G$79,"Assumed",Events!$I$8:$I$79,"OK")&gt;0),"VERIFY SAME-DAY ORDER",IF(E27&lt;0,"CASH SHORTAGE",IF(F27&lt;0,"BELOW CHOSEN FLOOR","")))))</f>
        <v/>
      </c>
    </row>
    <row r="28" spans="1:7" ht="32.1" customHeight="1">
      <c r="A28" s="14" t="str">
        <f>IF(Setup!$D$30&lt;&gt;"OK","",IF(Setup!$D$6+20&lt;=Setup!$D$8,Setup!$D$6+20,""))</f>
        <v/>
      </c>
      <c r="B28" s="15" t="str">
        <f>IF(A28="","",IF(OR(Setup!$D$30&lt;&gt;"OK",COUNTIF(Events!$I$8:$I$79,"CHECK")&gt;0),"PENDING",E27))</f>
        <v/>
      </c>
      <c r="C28" s="15" t="str">
        <f>IF(A28="","",IF(OR(Setup!$D$30&lt;&gt;"OK",COUNTIF(Events!$I$8:$I$79,"CHECK")&gt;0),"PENDING",SUMIFS(Events!$E$8:$E$79,Events!$A$8:$A$79,"&gt;="&amp;A28,Events!$A$8:$A$79,"&lt;"&amp;(A28+1),Events!$D$8:$D$79,"In",Events!$I$8:$I$79,"OK")))</f>
        <v/>
      </c>
      <c r="D28" s="15" t="str">
        <f>IF(A28="","",IF(OR(Setup!$D$30&lt;&gt;"OK",COUNTIF(Events!$I$8:$I$79,"CHECK")&gt;0),"PENDING",SUMIFS(Events!$E$8:$E$79,Events!$A$8:$A$79,"&gt;="&amp;A28,Events!$A$8:$A$79,"&lt;"&amp;(A28+1),Events!$D$8:$D$79,"Out",Events!$I$8:$I$79,"OK")))</f>
        <v/>
      </c>
      <c r="E28" s="15" t="str">
        <f t="shared" si="0"/>
        <v/>
      </c>
      <c r="F28" s="15" t="str">
        <f>IF(A28="","",IF(ISNUMBER(E28),E28-Setup!$D$12,"PENDING"))</f>
        <v/>
      </c>
      <c r="G28" s="16" t="str">
        <f>IF(A28="","",IF(NOT(ISNUMBER(E28)),"COMPLETE INPUTS",IF(AND(C28&gt;0,D28&gt;0,COUNTIFS(Events!$A$8:$A$79,"&gt;="&amp;A28,Events!$A$8:$A$79,"&lt;"&amp;(A28+1),Events!$D$8:$D$79,"In",Events!$G$8:$G$79,"Assumed",Events!$I$8:$I$79,"OK")&gt;0),"VERIFY SAME-DAY ORDER",IF(E28&lt;0,"CASH SHORTAGE",IF(F28&lt;0,"BELOW CHOSEN FLOOR","")))))</f>
        <v/>
      </c>
    </row>
    <row r="29" spans="1:7" ht="32.1" customHeight="1">
      <c r="A29" s="14" t="str">
        <f>IF(Setup!$D$30&lt;&gt;"OK","",IF(Setup!$D$6+21&lt;=Setup!$D$8,Setup!$D$6+21,""))</f>
        <v/>
      </c>
      <c r="B29" s="15" t="str">
        <f>IF(A29="","",IF(OR(Setup!$D$30&lt;&gt;"OK",COUNTIF(Events!$I$8:$I$79,"CHECK")&gt;0),"PENDING",E28))</f>
        <v/>
      </c>
      <c r="C29" s="15" t="str">
        <f>IF(A29="","",IF(OR(Setup!$D$30&lt;&gt;"OK",COUNTIF(Events!$I$8:$I$79,"CHECK")&gt;0),"PENDING",SUMIFS(Events!$E$8:$E$79,Events!$A$8:$A$79,"&gt;="&amp;A29,Events!$A$8:$A$79,"&lt;"&amp;(A29+1),Events!$D$8:$D$79,"In",Events!$I$8:$I$79,"OK")))</f>
        <v/>
      </c>
      <c r="D29" s="15" t="str">
        <f>IF(A29="","",IF(OR(Setup!$D$30&lt;&gt;"OK",COUNTIF(Events!$I$8:$I$79,"CHECK")&gt;0),"PENDING",SUMIFS(Events!$E$8:$E$79,Events!$A$8:$A$79,"&gt;="&amp;A29,Events!$A$8:$A$79,"&lt;"&amp;(A29+1),Events!$D$8:$D$79,"Out",Events!$I$8:$I$79,"OK")))</f>
        <v/>
      </c>
      <c r="E29" s="15" t="str">
        <f t="shared" si="0"/>
        <v/>
      </c>
      <c r="F29" s="15" t="str">
        <f>IF(A29="","",IF(ISNUMBER(E29),E29-Setup!$D$12,"PENDING"))</f>
        <v/>
      </c>
      <c r="G29" s="16" t="str">
        <f>IF(A29="","",IF(NOT(ISNUMBER(E29)),"COMPLETE INPUTS",IF(AND(C29&gt;0,D29&gt;0,COUNTIFS(Events!$A$8:$A$79,"&gt;="&amp;A29,Events!$A$8:$A$79,"&lt;"&amp;(A29+1),Events!$D$8:$D$79,"In",Events!$G$8:$G$79,"Assumed",Events!$I$8:$I$79,"OK")&gt;0),"VERIFY SAME-DAY ORDER",IF(E29&lt;0,"CASH SHORTAGE",IF(F29&lt;0,"BELOW CHOSEN FLOOR","")))))</f>
        <v/>
      </c>
    </row>
    <row r="30" spans="1:7" ht="32.1" customHeight="1">
      <c r="A30" s="14" t="str">
        <f>IF(Setup!$D$30&lt;&gt;"OK","",IF(Setup!$D$6+22&lt;=Setup!$D$8,Setup!$D$6+22,""))</f>
        <v/>
      </c>
      <c r="B30" s="15" t="str">
        <f>IF(A30="","",IF(OR(Setup!$D$30&lt;&gt;"OK",COUNTIF(Events!$I$8:$I$79,"CHECK")&gt;0),"PENDING",E29))</f>
        <v/>
      </c>
      <c r="C30" s="15" t="str">
        <f>IF(A30="","",IF(OR(Setup!$D$30&lt;&gt;"OK",COUNTIF(Events!$I$8:$I$79,"CHECK")&gt;0),"PENDING",SUMIFS(Events!$E$8:$E$79,Events!$A$8:$A$79,"&gt;="&amp;A30,Events!$A$8:$A$79,"&lt;"&amp;(A30+1),Events!$D$8:$D$79,"In",Events!$I$8:$I$79,"OK")))</f>
        <v/>
      </c>
      <c r="D30" s="15" t="str">
        <f>IF(A30="","",IF(OR(Setup!$D$30&lt;&gt;"OK",COUNTIF(Events!$I$8:$I$79,"CHECK")&gt;0),"PENDING",SUMIFS(Events!$E$8:$E$79,Events!$A$8:$A$79,"&gt;="&amp;A30,Events!$A$8:$A$79,"&lt;"&amp;(A30+1),Events!$D$8:$D$79,"Out",Events!$I$8:$I$79,"OK")))</f>
        <v/>
      </c>
      <c r="E30" s="15" t="str">
        <f t="shared" si="0"/>
        <v/>
      </c>
      <c r="F30" s="15" t="str">
        <f>IF(A30="","",IF(ISNUMBER(E30),E30-Setup!$D$12,"PENDING"))</f>
        <v/>
      </c>
      <c r="G30" s="16" t="str">
        <f>IF(A30="","",IF(NOT(ISNUMBER(E30)),"COMPLETE INPUTS",IF(AND(C30&gt;0,D30&gt;0,COUNTIFS(Events!$A$8:$A$79,"&gt;="&amp;A30,Events!$A$8:$A$79,"&lt;"&amp;(A30+1),Events!$D$8:$D$79,"In",Events!$G$8:$G$79,"Assumed",Events!$I$8:$I$79,"OK")&gt;0),"VERIFY SAME-DAY ORDER",IF(E30&lt;0,"CASH SHORTAGE",IF(F30&lt;0,"BELOW CHOSEN FLOOR","")))))</f>
        <v/>
      </c>
    </row>
    <row r="31" spans="1:7" ht="32.1" customHeight="1">
      <c r="A31" s="14" t="str">
        <f>IF(Setup!$D$30&lt;&gt;"OK","",IF(Setup!$D$6+23&lt;=Setup!$D$8,Setup!$D$6+23,""))</f>
        <v/>
      </c>
      <c r="B31" s="15" t="str">
        <f>IF(A31="","",IF(OR(Setup!$D$30&lt;&gt;"OK",COUNTIF(Events!$I$8:$I$79,"CHECK")&gt;0),"PENDING",E30))</f>
        <v/>
      </c>
      <c r="C31" s="15" t="str">
        <f>IF(A31="","",IF(OR(Setup!$D$30&lt;&gt;"OK",COUNTIF(Events!$I$8:$I$79,"CHECK")&gt;0),"PENDING",SUMIFS(Events!$E$8:$E$79,Events!$A$8:$A$79,"&gt;="&amp;A31,Events!$A$8:$A$79,"&lt;"&amp;(A31+1),Events!$D$8:$D$79,"In",Events!$I$8:$I$79,"OK")))</f>
        <v/>
      </c>
      <c r="D31" s="15" t="str">
        <f>IF(A31="","",IF(OR(Setup!$D$30&lt;&gt;"OK",COUNTIF(Events!$I$8:$I$79,"CHECK")&gt;0),"PENDING",SUMIFS(Events!$E$8:$E$79,Events!$A$8:$A$79,"&gt;="&amp;A31,Events!$A$8:$A$79,"&lt;"&amp;(A31+1),Events!$D$8:$D$79,"Out",Events!$I$8:$I$79,"OK")))</f>
        <v/>
      </c>
      <c r="E31" s="15" t="str">
        <f t="shared" si="0"/>
        <v/>
      </c>
      <c r="F31" s="15" t="str">
        <f>IF(A31="","",IF(ISNUMBER(E31),E31-Setup!$D$12,"PENDING"))</f>
        <v/>
      </c>
      <c r="G31" s="16" t="str">
        <f>IF(A31="","",IF(NOT(ISNUMBER(E31)),"COMPLETE INPUTS",IF(AND(C31&gt;0,D31&gt;0,COUNTIFS(Events!$A$8:$A$79,"&gt;="&amp;A31,Events!$A$8:$A$79,"&lt;"&amp;(A31+1),Events!$D$8:$D$79,"In",Events!$G$8:$G$79,"Assumed",Events!$I$8:$I$79,"OK")&gt;0),"VERIFY SAME-DAY ORDER",IF(E31&lt;0,"CASH SHORTAGE",IF(F31&lt;0,"BELOW CHOSEN FLOOR","")))))</f>
        <v/>
      </c>
    </row>
    <row r="32" spans="1:7" ht="32.1" customHeight="1">
      <c r="A32" s="14" t="str">
        <f>IF(Setup!$D$30&lt;&gt;"OK","",IF(Setup!$D$6+24&lt;=Setup!$D$8,Setup!$D$6+24,""))</f>
        <v/>
      </c>
      <c r="B32" s="15" t="str">
        <f>IF(A32="","",IF(OR(Setup!$D$30&lt;&gt;"OK",COUNTIF(Events!$I$8:$I$79,"CHECK")&gt;0),"PENDING",E31))</f>
        <v/>
      </c>
      <c r="C32" s="15" t="str">
        <f>IF(A32="","",IF(OR(Setup!$D$30&lt;&gt;"OK",COUNTIF(Events!$I$8:$I$79,"CHECK")&gt;0),"PENDING",SUMIFS(Events!$E$8:$E$79,Events!$A$8:$A$79,"&gt;="&amp;A32,Events!$A$8:$A$79,"&lt;"&amp;(A32+1),Events!$D$8:$D$79,"In",Events!$I$8:$I$79,"OK")))</f>
        <v/>
      </c>
      <c r="D32" s="15" t="str">
        <f>IF(A32="","",IF(OR(Setup!$D$30&lt;&gt;"OK",COUNTIF(Events!$I$8:$I$79,"CHECK")&gt;0),"PENDING",SUMIFS(Events!$E$8:$E$79,Events!$A$8:$A$79,"&gt;="&amp;A32,Events!$A$8:$A$79,"&lt;"&amp;(A32+1),Events!$D$8:$D$79,"Out",Events!$I$8:$I$79,"OK")))</f>
        <v/>
      </c>
      <c r="E32" s="15" t="str">
        <f t="shared" si="0"/>
        <v/>
      </c>
      <c r="F32" s="15" t="str">
        <f>IF(A32="","",IF(ISNUMBER(E32),E32-Setup!$D$12,"PENDING"))</f>
        <v/>
      </c>
      <c r="G32" s="16" t="str">
        <f>IF(A32="","",IF(NOT(ISNUMBER(E32)),"COMPLETE INPUTS",IF(AND(C32&gt;0,D32&gt;0,COUNTIFS(Events!$A$8:$A$79,"&gt;="&amp;A32,Events!$A$8:$A$79,"&lt;"&amp;(A32+1),Events!$D$8:$D$79,"In",Events!$G$8:$G$79,"Assumed",Events!$I$8:$I$79,"OK")&gt;0),"VERIFY SAME-DAY ORDER",IF(E32&lt;0,"CASH SHORTAGE",IF(F32&lt;0,"BELOW CHOSEN FLOOR","")))))</f>
        <v/>
      </c>
    </row>
    <row r="33" spans="1:7" ht="32.1" customHeight="1">
      <c r="A33" s="14" t="str">
        <f>IF(Setup!$D$30&lt;&gt;"OK","",IF(Setup!$D$6+25&lt;=Setup!$D$8,Setup!$D$6+25,""))</f>
        <v/>
      </c>
      <c r="B33" s="15" t="str">
        <f>IF(A33="","",IF(OR(Setup!$D$30&lt;&gt;"OK",COUNTIF(Events!$I$8:$I$79,"CHECK")&gt;0),"PENDING",E32))</f>
        <v/>
      </c>
      <c r="C33" s="15" t="str">
        <f>IF(A33="","",IF(OR(Setup!$D$30&lt;&gt;"OK",COUNTIF(Events!$I$8:$I$79,"CHECK")&gt;0),"PENDING",SUMIFS(Events!$E$8:$E$79,Events!$A$8:$A$79,"&gt;="&amp;A33,Events!$A$8:$A$79,"&lt;"&amp;(A33+1),Events!$D$8:$D$79,"In",Events!$I$8:$I$79,"OK")))</f>
        <v/>
      </c>
      <c r="D33" s="15" t="str">
        <f>IF(A33="","",IF(OR(Setup!$D$30&lt;&gt;"OK",COUNTIF(Events!$I$8:$I$79,"CHECK")&gt;0),"PENDING",SUMIFS(Events!$E$8:$E$79,Events!$A$8:$A$79,"&gt;="&amp;A33,Events!$A$8:$A$79,"&lt;"&amp;(A33+1),Events!$D$8:$D$79,"Out",Events!$I$8:$I$79,"OK")))</f>
        <v/>
      </c>
      <c r="E33" s="15" t="str">
        <f t="shared" si="0"/>
        <v/>
      </c>
      <c r="F33" s="15" t="str">
        <f>IF(A33="","",IF(ISNUMBER(E33),E33-Setup!$D$12,"PENDING"))</f>
        <v/>
      </c>
      <c r="G33" s="16" t="str">
        <f>IF(A33="","",IF(NOT(ISNUMBER(E33)),"COMPLETE INPUTS",IF(AND(C33&gt;0,D33&gt;0,COUNTIFS(Events!$A$8:$A$79,"&gt;="&amp;A33,Events!$A$8:$A$79,"&lt;"&amp;(A33+1),Events!$D$8:$D$79,"In",Events!$G$8:$G$79,"Assumed",Events!$I$8:$I$79,"OK")&gt;0),"VERIFY SAME-DAY ORDER",IF(E33&lt;0,"CASH SHORTAGE",IF(F33&lt;0,"BELOW CHOSEN FLOOR","")))))</f>
        <v/>
      </c>
    </row>
    <row r="34" spans="1:7" ht="32.1" customHeight="1">
      <c r="A34" s="14" t="str">
        <f>IF(Setup!$D$30&lt;&gt;"OK","",IF(Setup!$D$6+26&lt;=Setup!$D$8,Setup!$D$6+26,""))</f>
        <v/>
      </c>
      <c r="B34" s="15" t="str">
        <f>IF(A34="","",IF(OR(Setup!$D$30&lt;&gt;"OK",COUNTIF(Events!$I$8:$I$79,"CHECK")&gt;0),"PENDING",E33))</f>
        <v/>
      </c>
      <c r="C34" s="15" t="str">
        <f>IF(A34="","",IF(OR(Setup!$D$30&lt;&gt;"OK",COUNTIF(Events!$I$8:$I$79,"CHECK")&gt;0),"PENDING",SUMIFS(Events!$E$8:$E$79,Events!$A$8:$A$79,"&gt;="&amp;A34,Events!$A$8:$A$79,"&lt;"&amp;(A34+1),Events!$D$8:$D$79,"In",Events!$I$8:$I$79,"OK")))</f>
        <v/>
      </c>
      <c r="D34" s="15" t="str">
        <f>IF(A34="","",IF(OR(Setup!$D$30&lt;&gt;"OK",COUNTIF(Events!$I$8:$I$79,"CHECK")&gt;0),"PENDING",SUMIFS(Events!$E$8:$E$79,Events!$A$8:$A$79,"&gt;="&amp;A34,Events!$A$8:$A$79,"&lt;"&amp;(A34+1),Events!$D$8:$D$79,"Out",Events!$I$8:$I$79,"OK")))</f>
        <v/>
      </c>
      <c r="E34" s="15" t="str">
        <f t="shared" si="0"/>
        <v/>
      </c>
      <c r="F34" s="15" t="str">
        <f>IF(A34="","",IF(ISNUMBER(E34),E34-Setup!$D$12,"PENDING"))</f>
        <v/>
      </c>
      <c r="G34" s="16" t="str">
        <f>IF(A34="","",IF(NOT(ISNUMBER(E34)),"COMPLETE INPUTS",IF(AND(C34&gt;0,D34&gt;0,COUNTIFS(Events!$A$8:$A$79,"&gt;="&amp;A34,Events!$A$8:$A$79,"&lt;"&amp;(A34+1),Events!$D$8:$D$79,"In",Events!$G$8:$G$79,"Assumed",Events!$I$8:$I$79,"OK")&gt;0),"VERIFY SAME-DAY ORDER",IF(E34&lt;0,"CASH SHORTAGE",IF(F34&lt;0,"BELOW CHOSEN FLOOR","")))))</f>
        <v/>
      </c>
    </row>
    <row r="35" spans="1:7" ht="32.1" customHeight="1">
      <c r="A35" s="14" t="str">
        <f>IF(Setup!$D$30&lt;&gt;"OK","",IF(Setup!$D$6+27&lt;=Setup!$D$8,Setup!$D$6+27,""))</f>
        <v/>
      </c>
      <c r="B35" s="15" t="str">
        <f>IF(A35="","",IF(OR(Setup!$D$30&lt;&gt;"OK",COUNTIF(Events!$I$8:$I$79,"CHECK")&gt;0),"PENDING",E34))</f>
        <v/>
      </c>
      <c r="C35" s="15" t="str">
        <f>IF(A35="","",IF(OR(Setup!$D$30&lt;&gt;"OK",COUNTIF(Events!$I$8:$I$79,"CHECK")&gt;0),"PENDING",SUMIFS(Events!$E$8:$E$79,Events!$A$8:$A$79,"&gt;="&amp;A35,Events!$A$8:$A$79,"&lt;"&amp;(A35+1),Events!$D$8:$D$79,"In",Events!$I$8:$I$79,"OK")))</f>
        <v/>
      </c>
      <c r="D35" s="15" t="str">
        <f>IF(A35="","",IF(OR(Setup!$D$30&lt;&gt;"OK",COUNTIF(Events!$I$8:$I$79,"CHECK")&gt;0),"PENDING",SUMIFS(Events!$E$8:$E$79,Events!$A$8:$A$79,"&gt;="&amp;A35,Events!$A$8:$A$79,"&lt;"&amp;(A35+1),Events!$D$8:$D$79,"Out",Events!$I$8:$I$79,"OK")))</f>
        <v/>
      </c>
      <c r="E35" s="15" t="str">
        <f t="shared" si="0"/>
        <v/>
      </c>
      <c r="F35" s="15" t="str">
        <f>IF(A35="","",IF(ISNUMBER(E35),E35-Setup!$D$12,"PENDING"))</f>
        <v/>
      </c>
      <c r="G35" s="16" t="str">
        <f>IF(A35="","",IF(NOT(ISNUMBER(E35)),"COMPLETE INPUTS",IF(AND(C35&gt;0,D35&gt;0,COUNTIFS(Events!$A$8:$A$79,"&gt;="&amp;A35,Events!$A$8:$A$79,"&lt;"&amp;(A35+1),Events!$D$8:$D$79,"In",Events!$G$8:$G$79,"Assumed",Events!$I$8:$I$79,"OK")&gt;0),"VERIFY SAME-DAY ORDER",IF(E35&lt;0,"CASH SHORTAGE",IF(F35&lt;0,"BELOW CHOSEN FLOOR","")))))</f>
        <v/>
      </c>
    </row>
    <row r="36" spans="1:7" ht="32.1" customHeight="1">
      <c r="A36" s="14" t="str">
        <f>IF(Setup!$D$30&lt;&gt;"OK","",IF(Setup!$D$6+28&lt;=Setup!$D$8,Setup!$D$6+28,""))</f>
        <v/>
      </c>
      <c r="B36" s="15" t="str">
        <f>IF(A36="","",IF(OR(Setup!$D$30&lt;&gt;"OK",COUNTIF(Events!$I$8:$I$79,"CHECK")&gt;0),"PENDING",E35))</f>
        <v/>
      </c>
      <c r="C36" s="15" t="str">
        <f>IF(A36="","",IF(OR(Setup!$D$30&lt;&gt;"OK",COUNTIF(Events!$I$8:$I$79,"CHECK")&gt;0),"PENDING",SUMIFS(Events!$E$8:$E$79,Events!$A$8:$A$79,"&gt;="&amp;A36,Events!$A$8:$A$79,"&lt;"&amp;(A36+1),Events!$D$8:$D$79,"In",Events!$I$8:$I$79,"OK")))</f>
        <v/>
      </c>
      <c r="D36" s="15" t="str">
        <f>IF(A36="","",IF(OR(Setup!$D$30&lt;&gt;"OK",COUNTIF(Events!$I$8:$I$79,"CHECK")&gt;0),"PENDING",SUMIFS(Events!$E$8:$E$79,Events!$A$8:$A$79,"&gt;="&amp;A36,Events!$A$8:$A$79,"&lt;"&amp;(A36+1),Events!$D$8:$D$79,"Out",Events!$I$8:$I$79,"OK")))</f>
        <v/>
      </c>
      <c r="E36" s="15" t="str">
        <f t="shared" si="0"/>
        <v/>
      </c>
      <c r="F36" s="15" t="str">
        <f>IF(A36="","",IF(ISNUMBER(E36),E36-Setup!$D$12,"PENDING"))</f>
        <v/>
      </c>
      <c r="G36" s="16" t="str">
        <f>IF(A36="","",IF(NOT(ISNUMBER(E36)),"COMPLETE INPUTS",IF(AND(C36&gt;0,D36&gt;0,COUNTIFS(Events!$A$8:$A$79,"&gt;="&amp;A36,Events!$A$8:$A$79,"&lt;"&amp;(A36+1),Events!$D$8:$D$79,"In",Events!$G$8:$G$79,"Assumed",Events!$I$8:$I$79,"OK")&gt;0),"VERIFY SAME-DAY ORDER",IF(E36&lt;0,"CASH SHORTAGE",IF(F36&lt;0,"BELOW CHOSEN FLOOR","")))))</f>
        <v/>
      </c>
    </row>
    <row r="37" spans="1:7" ht="32.1" customHeight="1">
      <c r="A37" s="14" t="str">
        <f>IF(Setup!$D$30&lt;&gt;"OK","",IF(Setup!$D$6+29&lt;=Setup!$D$8,Setup!$D$6+29,""))</f>
        <v/>
      </c>
      <c r="B37" s="15" t="str">
        <f>IF(A37="","",IF(OR(Setup!$D$30&lt;&gt;"OK",COUNTIF(Events!$I$8:$I$79,"CHECK")&gt;0),"PENDING",E36))</f>
        <v/>
      </c>
      <c r="C37" s="15" t="str">
        <f>IF(A37="","",IF(OR(Setup!$D$30&lt;&gt;"OK",COUNTIF(Events!$I$8:$I$79,"CHECK")&gt;0),"PENDING",SUMIFS(Events!$E$8:$E$79,Events!$A$8:$A$79,"&gt;="&amp;A37,Events!$A$8:$A$79,"&lt;"&amp;(A37+1),Events!$D$8:$D$79,"In",Events!$I$8:$I$79,"OK")))</f>
        <v/>
      </c>
      <c r="D37" s="15" t="str">
        <f>IF(A37="","",IF(OR(Setup!$D$30&lt;&gt;"OK",COUNTIF(Events!$I$8:$I$79,"CHECK")&gt;0),"PENDING",SUMIFS(Events!$E$8:$E$79,Events!$A$8:$A$79,"&gt;="&amp;A37,Events!$A$8:$A$79,"&lt;"&amp;(A37+1),Events!$D$8:$D$79,"Out",Events!$I$8:$I$79,"OK")))</f>
        <v/>
      </c>
      <c r="E37" s="15" t="str">
        <f t="shared" si="0"/>
        <v/>
      </c>
      <c r="F37" s="15" t="str">
        <f>IF(A37="","",IF(ISNUMBER(E37),E37-Setup!$D$12,"PENDING"))</f>
        <v/>
      </c>
      <c r="G37" s="16" t="str">
        <f>IF(A37="","",IF(NOT(ISNUMBER(E37)),"COMPLETE INPUTS",IF(AND(C37&gt;0,D37&gt;0,COUNTIFS(Events!$A$8:$A$79,"&gt;="&amp;A37,Events!$A$8:$A$79,"&lt;"&amp;(A37+1),Events!$D$8:$D$79,"In",Events!$G$8:$G$79,"Assumed",Events!$I$8:$I$79,"OK")&gt;0),"VERIFY SAME-DAY ORDER",IF(E37&lt;0,"CASH SHORTAGE",IF(F37&lt;0,"BELOW CHOSEN FLOOR","")))))</f>
        <v/>
      </c>
    </row>
    <row r="38" spans="1:7" ht="32.1" customHeight="1">
      <c r="A38" s="14" t="str">
        <f>IF(Setup!$D$30&lt;&gt;"OK","",IF(Setup!$D$6+30&lt;=Setup!$D$8,Setup!$D$6+30,""))</f>
        <v/>
      </c>
      <c r="B38" s="15" t="str">
        <f>IF(A38="","",IF(OR(Setup!$D$30&lt;&gt;"OK",COUNTIF(Events!$I$8:$I$79,"CHECK")&gt;0),"PENDING",E37))</f>
        <v/>
      </c>
      <c r="C38" s="15" t="str">
        <f>IF(A38="","",IF(OR(Setup!$D$30&lt;&gt;"OK",COUNTIF(Events!$I$8:$I$79,"CHECK")&gt;0),"PENDING",SUMIFS(Events!$E$8:$E$79,Events!$A$8:$A$79,"&gt;="&amp;A38,Events!$A$8:$A$79,"&lt;"&amp;(A38+1),Events!$D$8:$D$79,"In",Events!$I$8:$I$79,"OK")))</f>
        <v/>
      </c>
      <c r="D38" s="15" t="str">
        <f>IF(A38="","",IF(OR(Setup!$D$30&lt;&gt;"OK",COUNTIF(Events!$I$8:$I$79,"CHECK")&gt;0),"PENDING",SUMIFS(Events!$E$8:$E$79,Events!$A$8:$A$79,"&gt;="&amp;A38,Events!$A$8:$A$79,"&lt;"&amp;(A38+1),Events!$D$8:$D$79,"Out",Events!$I$8:$I$79,"OK")))</f>
        <v/>
      </c>
      <c r="E38" s="15" t="str">
        <f t="shared" si="0"/>
        <v/>
      </c>
      <c r="F38" s="15" t="str">
        <f>IF(A38="","",IF(ISNUMBER(E38),E38-Setup!$D$12,"PENDING"))</f>
        <v/>
      </c>
      <c r="G38" s="16" t="str">
        <f>IF(A38="","",IF(NOT(ISNUMBER(E38)),"COMPLETE INPUTS",IF(AND(C38&gt;0,D38&gt;0,COUNTIFS(Events!$A$8:$A$79,"&gt;="&amp;A38,Events!$A$8:$A$79,"&lt;"&amp;(A38+1),Events!$D$8:$D$79,"In",Events!$G$8:$G$79,"Assumed",Events!$I$8:$I$79,"OK")&gt;0),"VERIFY SAME-DAY ORDER",IF(E38&lt;0,"CASH SHORTAGE",IF(F38&lt;0,"BELOW CHOSEN FLOOR","")))))</f>
        <v/>
      </c>
    </row>
    <row r="39" spans="1:7" ht="32.1" customHeight="1">
      <c r="A39" s="14" t="str">
        <f>IF(Setup!$D$30&lt;&gt;"OK","",IF(Setup!$D$6+31&lt;=Setup!$D$8,Setup!$D$6+31,""))</f>
        <v/>
      </c>
      <c r="B39" s="15" t="str">
        <f>IF(A39="","",IF(OR(Setup!$D$30&lt;&gt;"OK",COUNTIF(Events!$I$8:$I$79,"CHECK")&gt;0),"PENDING",E38))</f>
        <v/>
      </c>
      <c r="C39" s="15" t="str">
        <f>IF(A39="","",IF(OR(Setup!$D$30&lt;&gt;"OK",COUNTIF(Events!$I$8:$I$79,"CHECK")&gt;0),"PENDING",SUMIFS(Events!$E$8:$E$79,Events!$A$8:$A$79,"&gt;="&amp;A39,Events!$A$8:$A$79,"&lt;"&amp;(A39+1),Events!$D$8:$D$79,"In",Events!$I$8:$I$79,"OK")))</f>
        <v/>
      </c>
      <c r="D39" s="15" t="str">
        <f>IF(A39="","",IF(OR(Setup!$D$30&lt;&gt;"OK",COUNTIF(Events!$I$8:$I$79,"CHECK")&gt;0),"PENDING",SUMIFS(Events!$E$8:$E$79,Events!$A$8:$A$79,"&gt;="&amp;A39,Events!$A$8:$A$79,"&lt;"&amp;(A39+1),Events!$D$8:$D$79,"Out",Events!$I$8:$I$79,"OK")))</f>
        <v/>
      </c>
      <c r="E39" s="15" t="str">
        <f t="shared" si="0"/>
        <v/>
      </c>
      <c r="F39" s="15" t="str">
        <f>IF(A39="","",IF(ISNUMBER(E39),E39-Setup!$D$12,"PENDING"))</f>
        <v/>
      </c>
      <c r="G39" s="16" t="str">
        <f>IF(A39="","",IF(NOT(ISNUMBER(E39)),"COMPLETE INPUTS",IF(AND(C39&gt;0,D39&gt;0,COUNTIFS(Events!$A$8:$A$79,"&gt;="&amp;A39,Events!$A$8:$A$79,"&lt;"&amp;(A39+1),Events!$D$8:$D$79,"In",Events!$G$8:$G$79,"Assumed",Events!$I$8:$I$79,"OK")&gt;0),"VERIFY SAME-DAY ORDER",IF(E39&lt;0,"CASH SHORTAGE",IF(F39&lt;0,"BELOW CHOSEN FLOOR","")))))</f>
        <v/>
      </c>
    </row>
    <row r="40" spans="1:7" ht="32.1" customHeight="1">
      <c r="A40" s="14" t="str">
        <f>IF(Setup!$D$30&lt;&gt;"OK","",IF(Setup!$D$6+32&lt;=Setup!$D$8,Setup!$D$6+32,""))</f>
        <v/>
      </c>
      <c r="B40" s="15" t="str">
        <f>IF(A40="","",IF(OR(Setup!$D$30&lt;&gt;"OK",COUNTIF(Events!$I$8:$I$79,"CHECK")&gt;0),"PENDING",E39))</f>
        <v/>
      </c>
      <c r="C40" s="15" t="str">
        <f>IF(A40="","",IF(OR(Setup!$D$30&lt;&gt;"OK",COUNTIF(Events!$I$8:$I$79,"CHECK")&gt;0),"PENDING",SUMIFS(Events!$E$8:$E$79,Events!$A$8:$A$79,"&gt;="&amp;A40,Events!$A$8:$A$79,"&lt;"&amp;(A40+1),Events!$D$8:$D$79,"In",Events!$I$8:$I$79,"OK")))</f>
        <v/>
      </c>
      <c r="D40" s="15" t="str">
        <f>IF(A40="","",IF(OR(Setup!$D$30&lt;&gt;"OK",COUNTIF(Events!$I$8:$I$79,"CHECK")&gt;0),"PENDING",SUMIFS(Events!$E$8:$E$79,Events!$A$8:$A$79,"&gt;="&amp;A40,Events!$A$8:$A$79,"&lt;"&amp;(A40+1),Events!$D$8:$D$79,"Out",Events!$I$8:$I$79,"OK")))</f>
        <v/>
      </c>
      <c r="E40" s="15" t="str">
        <f t="shared" ref="E40:E71" si="1">IF(A40="","",IF(AND(ISNUMBER(B40),ISNUMBER(C40),ISNUMBER(D40)),B40+C40-D40,"PENDING"))</f>
        <v/>
      </c>
      <c r="F40" s="15" t="str">
        <f>IF(A40="","",IF(ISNUMBER(E40),E40-Setup!$D$12,"PENDING"))</f>
        <v/>
      </c>
      <c r="G40" s="16" t="str">
        <f>IF(A40="","",IF(NOT(ISNUMBER(E40)),"COMPLETE INPUTS",IF(AND(C40&gt;0,D40&gt;0,COUNTIFS(Events!$A$8:$A$79,"&gt;="&amp;A40,Events!$A$8:$A$79,"&lt;"&amp;(A40+1),Events!$D$8:$D$79,"In",Events!$G$8:$G$79,"Assumed",Events!$I$8:$I$79,"OK")&gt;0),"VERIFY SAME-DAY ORDER",IF(E40&lt;0,"CASH SHORTAGE",IF(F40&lt;0,"BELOW CHOSEN FLOOR","")))))</f>
        <v/>
      </c>
    </row>
    <row r="41" spans="1:7" ht="32.1" customHeight="1">
      <c r="A41" s="14" t="str">
        <f>IF(Setup!$D$30&lt;&gt;"OK","",IF(Setup!$D$6+33&lt;=Setup!$D$8,Setup!$D$6+33,""))</f>
        <v/>
      </c>
      <c r="B41" s="15" t="str">
        <f>IF(A41="","",IF(OR(Setup!$D$30&lt;&gt;"OK",COUNTIF(Events!$I$8:$I$79,"CHECK")&gt;0),"PENDING",E40))</f>
        <v/>
      </c>
      <c r="C41" s="15" t="str">
        <f>IF(A41="","",IF(OR(Setup!$D$30&lt;&gt;"OK",COUNTIF(Events!$I$8:$I$79,"CHECK")&gt;0),"PENDING",SUMIFS(Events!$E$8:$E$79,Events!$A$8:$A$79,"&gt;="&amp;A41,Events!$A$8:$A$79,"&lt;"&amp;(A41+1),Events!$D$8:$D$79,"In",Events!$I$8:$I$79,"OK")))</f>
        <v/>
      </c>
      <c r="D41" s="15" t="str">
        <f>IF(A41="","",IF(OR(Setup!$D$30&lt;&gt;"OK",COUNTIF(Events!$I$8:$I$79,"CHECK")&gt;0),"PENDING",SUMIFS(Events!$E$8:$E$79,Events!$A$8:$A$79,"&gt;="&amp;A41,Events!$A$8:$A$79,"&lt;"&amp;(A41+1),Events!$D$8:$D$79,"Out",Events!$I$8:$I$79,"OK")))</f>
        <v/>
      </c>
      <c r="E41" s="15" t="str">
        <f t="shared" si="1"/>
        <v/>
      </c>
      <c r="F41" s="15" t="str">
        <f>IF(A41="","",IF(ISNUMBER(E41),E41-Setup!$D$12,"PENDING"))</f>
        <v/>
      </c>
      <c r="G41" s="16" t="str">
        <f>IF(A41="","",IF(NOT(ISNUMBER(E41)),"COMPLETE INPUTS",IF(AND(C41&gt;0,D41&gt;0,COUNTIFS(Events!$A$8:$A$79,"&gt;="&amp;A41,Events!$A$8:$A$79,"&lt;"&amp;(A41+1),Events!$D$8:$D$79,"In",Events!$G$8:$G$79,"Assumed",Events!$I$8:$I$79,"OK")&gt;0),"VERIFY SAME-DAY ORDER",IF(E41&lt;0,"CASH SHORTAGE",IF(F41&lt;0,"BELOW CHOSEN FLOOR","")))))</f>
        <v/>
      </c>
    </row>
    <row r="42" spans="1:7" ht="32.1" customHeight="1">
      <c r="A42" s="14" t="str">
        <f>IF(Setup!$D$30&lt;&gt;"OK","",IF(Setup!$D$6+34&lt;=Setup!$D$8,Setup!$D$6+34,""))</f>
        <v/>
      </c>
      <c r="B42" s="15" t="str">
        <f>IF(A42="","",IF(OR(Setup!$D$30&lt;&gt;"OK",COUNTIF(Events!$I$8:$I$79,"CHECK")&gt;0),"PENDING",E41))</f>
        <v/>
      </c>
      <c r="C42" s="15" t="str">
        <f>IF(A42="","",IF(OR(Setup!$D$30&lt;&gt;"OK",COUNTIF(Events!$I$8:$I$79,"CHECK")&gt;0),"PENDING",SUMIFS(Events!$E$8:$E$79,Events!$A$8:$A$79,"&gt;="&amp;A42,Events!$A$8:$A$79,"&lt;"&amp;(A42+1),Events!$D$8:$D$79,"In",Events!$I$8:$I$79,"OK")))</f>
        <v/>
      </c>
      <c r="D42" s="15" t="str">
        <f>IF(A42="","",IF(OR(Setup!$D$30&lt;&gt;"OK",COUNTIF(Events!$I$8:$I$79,"CHECK")&gt;0),"PENDING",SUMIFS(Events!$E$8:$E$79,Events!$A$8:$A$79,"&gt;="&amp;A42,Events!$A$8:$A$79,"&lt;"&amp;(A42+1),Events!$D$8:$D$79,"Out",Events!$I$8:$I$79,"OK")))</f>
        <v/>
      </c>
      <c r="E42" s="15" t="str">
        <f t="shared" si="1"/>
        <v/>
      </c>
      <c r="F42" s="15" t="str">
        <f>IF(A42="","",IF(ISNUMBER(E42),E42-Setup!$D$12,"PENDING"))</f>
        <v/>
      </c>
      <c r="G42" s="16" t="str">
        <f>IF(A42="","",IF(NOT(ISNUMBER(E42)),"COMPLETE INPUTS",IF(AND(C42&gt;0,D42&gt;0,COUNTIFS(Events!$A$8:$A$79,"&gt;="&amp;A42,Events!$A$8:$A$79,"&lt;"&amp;(A42+1),Events!$D$8:$D$79,"In",Events!$G$8:$G$79,"Assumed",Events!$I$8:$I$79,"OK")&gt;0),"VERIFY SAME-DAY ORDER",IF(E42&lt;0,"CASH SHORTAGE",IF(F42&lt;0,"BELOW CHOSEN FLOOR","")))))</f>
        <v/>
      </c>
    </row>
    <row r="43" spans="1:7" ht="32.1" customHeight="1">
      <c r="A43" s="14" t="str">
        <f>IF(Setup!$D$30&lt;&gt;"OK","",IF(Setup!$D$6+35&lt;=Setup!$D$8,Setup!$D$6+35,""))</f>
        <v/>
      </c>
      <c r="B43" s="15" t="str">
        <f>IF(A43="","",IF(OR(Setup!$D$30&lt;&gt;"OK",COUNTIF(Events!$I$8:$I$79,"CHECK")&gt;0),"PENDING",E42))</f>
        <v/>
      </c>
      <c r="C43" s="15" t="str">
        <f>IF(A43="","",IF(OR(Setup!$D$30&lt;&gt;"OK",COUNTIF(Events!$I$8:$I$79,"CHECK")&gt;0),"PENDING",SUMIFS(Events!$E$8:$E$79,Events!$A$8:$A$79,"&gt;="&amp;A43,Events!$A$8:$A$79,"&lt;"&amp;(A43+1),Events!$D$8:$D$79,"In",Events!$I$8:$I$79,"OK")))</f>
        <v/>
      </c>
      <c r="D43" s="15" t="str">
        <f>IF(A43="","",IF(OR(Setup!$D$30&lt;&gt;"OK",COUNTIF(Events!$I$8:$I$79,"CHECK")&gt;0),"PENDING",SUMIFS(Events!$E$8:$E$79,Events!$A$8:$A$79,"&gt;="&amp;A43,Events!$A$8:$A$79,"&lt;"&amp;(A43+1),Events!$D$8:$D$79,"Out",Events!$I$8:$I$79,"OK")))</f>
        <v/>
      </c>
      <c r="E43" s="15" t="str">
        <f t="shared" si="1"/>
        <v/>
      </c>
      <c r="F43" s="15" t="str">
        <f>IF(A43="","",IF(ISNUMBER(E43),E43-Setup!$D$12,"PENDING"))</f>
        <v/>
      </c>
      <c r="G43" s="16" t="str">
        <f>IF(A43="","",IF(NOT(ISNUMBER(E43)),"COMPLETE INPUTS",IF(AND(C43&gt;0,D43&gt;0,COUNTIFS(Events!$A$8:$A$79,"&gt;="&amp;A43,Events!$A$8:$A$79,"&lt;"&amp;(A43+1),Events!$D$8:$D$79,"In",Events!$G$8:$G$79,"Assumed",Events!$I$8:$I$79,"OK")&gt;0),"VERIFY SAME-DAY ORDER",IF(E43&lt;0,"CASH SHORTAGE",IF(F43&lt;0,"BELOW CHOSEN FLOOR","")))))</f>
        <v/>
      </c>
    </row>
    <row r="44" spans="1:7" ht="32.1" customHeight="1">
      <c r="A44" s="14" t="str">
        <f>IF(Setup!$D$30&lt;&gt;"OK","",IF(Setup!$D$6+36&lt;=Setup!$D$8,Setup!$D$6+36,""))</f>
        <v/>
      </c>
      <c r="B44" s="15" t="str">
        <f>IF(A44="","",IF(OR(Setup!$D$30&lt;&gt;"OK",COUNTIF(Events!$I$8:$I$79,"CHECK")&gt;0),"PENDING",E43))</f>
        <v/>
      </c>
      <c r="C44" s="15" t="str">
        <f>IF(A44="","",IF(OR(Setup!$D$30&lt;&gt;"OK",COUNTIF(Events!$I$8:$I$79,"CHECK")&gt;0),"PENDING",SUMIFS(Events!$E$8:$E$79,Events!$A$8:$A$79,"&gt;="&amp;A44,Events!$A$8:$A$79,"&lt;"&amp;(A44+1),Events!$D$8:$D$79,"In",Events!$I$8:$I$79,"OK")))</f>
        <v/>
      </c>
      <c r="D44" s="15" t="str">
        <f>IF(A44="","",IF(OR(Setup!$D$30&lt;&gt;"OK",COUNTIF(Events!$I$8:$I$79,"CHECK")&gt;0),"PENDING",SUMIFS(Events!$E$8:$E$79,Events!$A$8:$A$79,"&gt;="&amp;A44,Events!$A$8:$A$79,"&lt;"&amp;(A44+1),Events!$D$8:$D$79,"Out",Events!$I$8:$I$79,"OK")))</f>
        <v/>
      </c>
      <c r="E44" s="15" t="str">
        <f t="shared" si="1"/>
        <v/>
      </c>
      <c r="F44" s="15" t="str">
        <f>IF(A44="","",IF(ISNUMBER(E44),E44-Setup!$D$12,"PENDING"))</f>
        <v/>
      </c>
      <c r="G44" s="16" t="str">
        <f>IF(A44="","",IF(NOT(ISNUMBER(E44)),"COMPLETE INPUTS",IF(AND(C44&gt;0,D44&gt;0,COUNTIFS(Events!$A$8:$A$79,"&gt;="&amp;A44,Events!$A$8:$A$79,"&lt;"&amp;(A44+1),Events!$D$8:$D$79,"In",Events!$G$8:$G$79,"Assumed",Events!$I$8:$I$79,"OK")&gt;0),"VERIFY SAME-DAY ORDER",IF(E44&lt;0,"CASH SHORTAGE",IF(F44&lt;0,"BELOW CHOSEN FLOOR","")))))</f>
        <v/>
      </c>
    </row>
    <row r="45" spans="1:7" ht="32.1" customHeight="1">
      <c r="A45" s="14" t="str">
        <f>IF(Setup!$D$30&lt;&gt;"OK","",IF(Setup!$D$6+37&lt;=Setup!$D$8,Setup!$D$6+37,""))</f>
        <v/>
      </c>
      <c r="B45" s="15" t="str">
        <f>IF(A45="","",IF(OR(Setup!$D$30&lt;&gt;"OK",COUNTIF(Events!$I$8:$I$79,"CHECK")&gt;0),"PENDING",E44))</f>
        <v/>
      </c>
      <c r="C45" s="15" t="str">
        <f>IF(A45="","",IF(OR(Setup!$D$30&lt;&gt;"OK",COUNTIF(Events!$I$8:$I$79,"CHECK")&gt;0),"PENDING",SUMIFS(Events!$E$8:$E$79,Events!$A$8:$A$79,"&gt;="&amp;A45,Events!$A$8:$A$79,"&lt;"&amp;(A45+1),Events!$D$8:$D$79,"In",Events!$I$8:$I$79,"OK")))</f>
        <v/>
      </c>
      <c r="D45" s="15" t="str">
        <f>IF(A45="","",IF(OR(Setup!$D$30&lt;&gt;"OK",COUNTIF(Events!$I$8:$I$79,"CHECK")&gt;0),"PENDING",SUMIFS(Events!$E$8:$E$79,Events!$A$8:$A$79,"&gt;="&amp;A45,Events!$A$8:$A$79,"&lt;"&amp;(A45+1),Events!$D$8:$D$79,"Out",Events!$I$8:$I$79,"OK")))</f>
        <v/>
      </c>
      <c r="E45" s="15" t="str">
        <f t="shared" si="1"/>
        <v/>
      </c>
      <c r="F45" s="15" t="str">
        <f>IF(A45="","",IF(ISNUMBER(E45),E45-Setup!$D$12,"PENDING"))</f>
        <v/>
      </c>
      <c r="G45" s="16" t="str">
        <f>IF(A45="","",IF(NOT(ISNUMBER(E45)),"COMPLETE INPUTS",IF(AND(C45&gt;0,D45&gt;0,COUNTIFS(Events!$A$8:$A$79,"&gt;="&amp;A45,Events!$A$8:$A$79,"&lt;"&amp;(A45+1),Events!$D$8:$D$79,"In",Events!$G$8:$G$79,"Assumed",Events!$I$8:$I$79,"OK")&gt;0),"VERIFY SAME-DAY ORDER",IF(E45&lt;0,"CASH SHORTAGE",IF(F45&lt;0,"BELOW CHOSEN FLOOR","")))))</f>
        <v/>
      </c>
    </row>
    <row r="46" spans="1:7" ht="32.1" customHeight="1">
      <c r="A46" s="14" t="str">
        <f>IF(Setup!$D$30&lt;&gt;"OK","",IF(Setup!$D$6+38&lt;=Setup!$D$8,Setup!$D$6+38,""))</f>
        <v/>
      </c>
      <c r="B46" s="15" t="str">
        <f>IF(A46="","",IF(OR(Setup!$D$30&lt;&gt;"OK",COUNTIF(Events!$I$8:$I$79,"CHECK")&gt;0),"PENDING",E45))</f>
        <v/>
      </c>
      <c r="C46" s="15" t="str">
        <f>IF(A46="","",IF(OR(Setup!$D$30&lt;&gt;"OK",COUNTIF(Events!$I$8:$I$79,"CHECK")&gt;0),"PENDING",SUMIFS(Events!$E$8:$E$79,Events!$A$8:$A$79,"&gt;="&amp;A46,Events!$A$8:$A$79,"&lt;"&amp;(A46+1),Events!$D$8:$D$79,"In",Events!$I$8:$I$79,"OK")))</f>
        <v/>
      </c>
      <c r="D46" s="15" t="str">
        <f>IF(A46="","",IF(OR(Setup!$D$30&lt;&gt;"OK",COUNTIF(Events!$I$8:$I$79,"CHECK")&gt;0),"PENDING",SUMIFS(Events!$E$8:$E$79,Events!$A$8:$A$79,"&gt;="&amp;A46,Events!$A$8:$A$79,"&lt;"&amp;(A46+1),Events!$D$8:$D$79,"Out",Events!$I$8:$I$79,"OK")))</f>
        <v/>
      </c>
      <c r="E46" s="15" t="str">
        <f t="shared" si="1"/>
        <v/>
      </c>
      <c r="F46" s="15" t="str">
        <f>IF(A46="","",IF(ISNUMBER(E46),E46-Setup!$D$12,"PENDING"))</f>
        <v/>
      </c>
      <c r="G46" s="16" t="str">
        <f>IF(A46="","",IF(NOT(ISNUMBER(E46)),"COMPLETE INPUTS",IF(AND(C46&gt;0,D46&gt;0,COUNTIFS(Events!$A$8:$A$79,"&gt;="&amp;A46,Events!$A$8:$A$79,"&lt;"&amp;(A46+1),Events!$D$8:$D$79,"In",Events!$G$8:$G$79,"Assumed",Events!$I$8:$I$79,"OK")&gt;0),"VERIFY SAME-DAY ORDER",IF(E46&lt;0,"CASH SHORTAGE",IF(F46&lt;0,"BELOW CHOSEN FLOOR","")))))</f>
        <v/>
      </c>
    </row>
    <row r="47" spans="1:7" ht="32.1" customHeight="1">
      <c r="A47" s="14" t="str">
        <f>IF(Setup!$D$30&lt;&gt;"OK","",IF(Setup!$D$6+39&lt;=Setup!$D$8,Setup!$D$6+39,""))</f>
        <v/>
      </c>
      <c r="B47" s="15" t="str">
        <f>IF(A47="","",IF(OR(Setup!$D$30&lt;&gt;"OK",COUNTIF(Events!$I$8:$I$79,"CHECK")&gt;0),"PENDING",E46))</f>
        <v/>
      </c>
      <c r="C47" s="15" t="str">
        <f>IF(A47="","",IF(OR(Setup!$D$30&lt;&gt;"OK",COUNTIF(Events!$I$8:$I$79,"CHECK")&gt;0),"PENDING",SUMIFS(Events!$E$8:$E$79,Events!$A$8:$A$79,"&gt;="&amp;A47,Events!$A$8:$A$79,"&lt;"&amp;(A47+1),Events!$D$8:$D$79,"In",Events!$I$8:$I$79,"OK")))</f>
        <v/>
      </c>
      <c r="D47" s="15" t="str">
        <f>IF(A47="","",IF(OR(Setup!$D$30&lt;&gt;"OK",COUNTIF(Events!$I$8:$I$79,"CHECK")&gt;0),"PENDING",SUMIFS(Events!$E$8:$E$79,Events!$A$8:$A$79,"&gt;="&amp;A47,Events!$A$8:$A$79,"&lt;"&amp;(A47+1),Events!$D$8:$D$79,"Out",Events!$I$8:$I$79,"OK")))</f>
        <v/>
      </c>
      <c r="E47" s="15" t="str">
        <f t="shared" si="1"/>
        <v/>
      </c>
      <c r="F47" s="15" t="str">
        <f>IF(A47="","",IF(ISNUMBER(E47),E47-Setup!$D$12,"PENDING"))</f>
        <v/>
      </c>
      <c r="G47" s="16" t="str">
        <f>IF(A47="","",IF(NOT(ISNUMBER(E47)),"COMPLETE INPUTS",IF(AND(C47&gt;0,D47&gt;0,COUNTIFS(Events!$A$8:$A$79,"&gt;="&amp;A47,Events!$A$8:$A$79,"&lt;"&amp;(A47+1),Events!$D$8:$D$79,"In",Events!$G$8:$G$79,"Assumed",Events!$I$8:$I$79,"OK")&gt;0),"VERIFY SAME-DAY ORDER",IF(E47&lt;0,"CASH SHORTAGE",IF(F47&lt;0,"BELOW CHOSEN FLOOR","")))))</f>
        <v/>
      </c>
    </row>
    <row r="48" spans="1:7" ht="32.1" customHeight="1">
      <c r="A48" s="14" t="str">
        <f>IF(Setup!$D$30&lt;&gt;"OK","",IF(Setup!$D$6+40&lt;=Setup!$D$8,Setup!$D$6+40,""))</f>
        <v/>
      </c>
      <c r="B48" s="15" t="str">
        <f>IF(A48="","",IF(OR(Setup!$D$30&lt;&gt;"OK",COUNTIF(Events!$I$8:$I$79,"CHECK")&gt;0),"PENDING",E47))</f>
        <v/>
      </c>
      <c r="C48" s="15" t="str">
        <f>IF(A48="","",IF(OR(Setup!$D$30&lt;&gt;"OK",COUNTIF(Events!$I$8:$I$79,"CHECK")&gt;0),"PENDING",SUMIFS(Events!$E$8:$E$79,Events!$A$8:$A$79,"&gt;="&amp;A48,Events!$A$8:$A$79,"&lt;"&amp;(A48+1),Events!$D$8:$D$79,"In",Events!$I$8:$I$79,"OK")))</f>
        <v/>
      </c>
      <c r="D48" s="15" t="str">
        <f>IF(A48="","",IF(OR(Setup!$D$30&lt;&gt;"OK",COUNTIF(Events!$I$8:$I$79,"CHECK")&gt;0),"PENDING",SUMIFS(Events!$E$8:$E$79,Events!$A$8:$A$79,"&gt;="&amp;A48,Events!$A$8:$A$79,"&lt;"&amp;(A48+1),Events!$D$8:$D$79,"Out",Events!$I$8:$I$79,"OK")))</f>
        <v/>
      </c>
      <c r="E48" s="15" t="str">
        <f t="shared" si="1"/>
        <v/>
      </c>
      <c r="F48" s="15" t="str">
        <f>IF(A48="","",IF(ISNUMBER(E48),E48-Setup!$D$12,"PENDING"))</f>
        <v/>
      </c>
      <c r="G48" s="16" t="str">
        <f>IF(A48="","",IF(NOT(ISNUMBER(E48)),"COMPLETE INPUTS",IF(AND(C48&gt;0,D48&gt;0,COUNTIFS(Events!$A$8:$A$79,"&gt;="&amp;A48,Events!$A$8:$A$79,"&lt;"&amp;(A48+1),Events!$D$8:$D$79,"In",Events!$G$8:$G$79,"Assumed",Events!$I$8:$I$79,"OK")&gt;0),"VERIFY SAME-DAY ORDER",IF(E48&lt;0,"CASH SHORTAGE",IF(F48&lt;0,"BELOW CHOSEN FLOOR","")))))</f>
        <v/>
      </c>
    </row>
    <row r="49" spans="1:7" ht="32.1" customHeight="1">
      <c r="A49" s="14" t="str">
        <f>IF(Setup!$D$30&lt;&gt;"OK","",IF(Setup!$D$6+41&lt;=Setup!$D$8,Setup!$D$6+41,""))</f>
        <v/>
      </c>
      <c r="B49" s="15" t="str">
        <f>IF(A49="","",IF(OR(Setup!$D$30&lt;&gt;"OK",COUNTIF(Events!$I$8:$I$79,"CHECK")&gt;0),"PENDING",E48))</f>
        <v/>
      </c>
      <c r="C49" s="15" t="str">
        <f>IF(A49="","",IF(OR(Setup!$D$30&lt;&gt;"OK",COUNTIF(Events!$I$8:$I$79,"CHECK")&gt;0),"PENDING",SUMIFS(Events!$E$8:$E$79,Events!$A$8:$A$79,"&gt;="&amp;A49,Events!$A$8:$A$79,"&lt;"&amp;(A49+1),Events!$D$8:$D$79,"In",Events!$I$8:$I$79,"OK")))</f>
        <v/>
      </c>
      <c r="D49" s="15" t="str">
        <f>IF(A49="","",IF(OR(Setup!$D$30&lt;&gt;"OK",COUNTIF(Events!$I$8:$I$79,"CHECK")&gt;0),"PENDING",SUMIFS(Events!$E$8:$E$79,Events!$A$8:$A$79,"&gt;="&amp;A49,Events!$A$8:$A$79,"&lt;"&amp;(A49+1),Events!$D$8:$D$79,"Out",Events!$I$8:$I$79,"OK")))</f>
        <v/>
      </c>
      <c r="E49" s="15" t="str">
        <f t="shared" si="1"/>
        <v/>
      </c>
      <c r="F49" s="15" t="str">
        <f>IF(A49="","",IF(ISNUMBER(E49),E49-Setup!$D$12,"PENDING"))</f>
        <v/>
      </c>
      <c r="G49" s="16" t="str">
        <f>IF(A49="","",IF(NOT(ISNUMBER(E49)),"COMPLETE INPUTS",IF(AND(C49&gt;0,D49&gt;0,COUNTIFS(Events!$A$8:$A$79,"&gt;="&amp;A49,Events!$A$8:$A$79,"&lt;"&amp;(A49+1),Events!$D$8:$D$79,"In",Events!$G$8:$G$79,"Assumed",Events!$I$8:$I$79,"OK")&gt;0),"VERIFY SAME-DAY ORDER",IF(E49&lt;0,"CASH SHORTAGE",IF(F49&lt;0,"BELOW CHOSEN FLOOR","")))))</f>
        <v/>
      </c>
    </row>
    <row r="50" spans="1:7" ht="32.1" customHeight="1">
      <c r="A50" s="14" t="str">
        <f>IF(Setup!$D$30&lt;&gt;"OK","",IF(Setup!$D$6+42&lt;=Setup!$D$8,Setup!$D$6+42,""))</f>
        <v/>
      </c>
      <c r="B50" s="15" t="str">
        <f>IF(A50="","",IF(OR(Setup!$D$30&lt;&gt;"OK",COUNTIF(Events!$I$8:$I$79,"CHECK")&gt;0),"PENDING",E49))</f>
        <v/>
      </c>
      <c r="C50" s="15" t="str">
        <f>IF(A50="","",IF(OR(Setup!$D$30&lt;&gt;"OK",COUNTIF(Events!$I$8:$I$79,"CHECK")&gt;0),"PENDING",SUMIFS(Events!$E$8:$E$79,Events!$A$8:$A$79,"&gt;="&amp;A50,Events!$A$8:$A$79,"&lt;"&amp;(A50+1),Events!$D$8:$D$79,"In",Events!$I$8:$I$79,"OK")))</f>
        <v/>
      </c>
      <c r="D50" s="15" t="str">
        <f>IF(A50="","",IF(OR(Setup!$D$30&lt;&gt;"OK",COUNTIF(Events!$I$8:$I$79,"CHECK")&gt;0),"PENDING",SUMIFS(Events!$E$8:$E$79,Events!$A$8:$A$79,"&gt;="&amp;A50,Events!$A$8:$A$79,"&lt;"&amp;(A50+1),Events!$D$8:$D$79,"Out",Events!$I$8:$I$79,"OK")))</f>
        <v/>
      </c>
      <c r="E50" s="15" t="str">
        <f t="shared" si="1"/>
        <v/>
      </c>
      <c r="F50" s="15" t="str">
        <f>IF(A50="","",IF(ISNUMBER(E50),E50-Setup!$D$12,"PENDING"))</f>
        <v/>
      </c>
      <c r="G50" s="16" t="str">
        <f>IF(A50="","",IF(NOT(ISNUMBER(E50)),"COMPLETE INPUTS",IF(AND(C50&gt;0,D50&gt;0,COUNTIFS(Events!$A$8:$A$79,"&gt;="&amp;A50,Events!$A$8:$A$79,"&lt;"&amp;(A50+1),Events!$D$8:$D$79,"In",Events!$G$8:$G$79,"Assumed",Events!$I$8:$I$79,"OK")&gt;0),"VERIFY SAME-DAY ORDER",IF(E50&lt;0,"CASH SHORTAGE",IF(F50&lt;0,"BELOW CHOSEN FLOOR","")))))</f>
        <v/>
      </c>
    </row>
    <row r="51" spans="1:7" ht="32.1" customHeight="1">
      <c r="A51" s="14" t="str">
        <f>IF(Setup!$D$30&lt;&gt;"OK","",IF(Setup!$D$6+43&lt;=Setup!$D$8,Setup!$D$6+43,""))</f>
        <v/>
      </c>
      <c r="B51" s="15" t="str">
        <f>IF(A51="","",IF(OR(Setup!$D$30&lt;&gt;"OK",COUNTIF(Events!$I$8:$I$79,"CHECK")&gt;0),"PENDING",E50))</f>
        <v/>
      </c>
      <c r="C51" s="15" t="str">
        <f>IF(A51="","",IF(OR(Setup!$D$30&lt;&gt;"OK",COUNTIF(Events!$I$8:$I$79,"CHECK")&gt;0),"PENDING",SUMIFS(Events!$E$8:$E$79,Events!$A$8:$A$79,"&gt;="&amp;A51,Events!$A$8:$A$79,"&lt;"&amp;(A51+1),Events!$D$8:$D$79,"In",Events!$I$8:$I$79,"OK")))</f>
        <v/>
      </c>
      <c r="D51" s="15" t="str">
        <f>IF(A51="","",IF(OR(Setup!$D$30&lt;&gt;"OK",COUNTIF(Events!$I$8:$I$79,"CHECK")&gt;0),"PENDING",SUMIFS(Events!$E$8:$E$79,Events!$A$8:$A$79,"&gt;="&amp;A51,Events!$A$8:$A$79,"&lt;"&amp;(A51+1),Events!$D$8:$D$79,"Out",Events!$I$8:$I$79,"OK")))</f>
        <v/>
      </c>
      <c r="E51" s="15" t="str">
        <f t="shared" si="1"/>
        <v/>
      </c>
      <c r="F51" s="15" t="str">
        <f>IF(A51="","",IF(ISNUMBER(E51),E51-Setup!$D$12,"PENDING"))</f>
        <v/>
      </c>
      <c r="G51" s="16" t="str">
        <f>IF(A51="","",IF(NOT(ISNUMBER(E51)),"COMPLETE INPUTS",IF(AND(C51&gt;0,D51&gt;0,COUNTIFS(Events!$A$8:$A$79,"&gt;="&amp;A51,Events!$A$8:$A$79,"&lt;"&amp;(A51+1),Events!$D$8:$D$79,"In",Events!$G$8:$G$79,"Assumed",Events!$I$8:$I$79,"OK")&gt;0),"VERIFY SAME-DAY ORDER",IF(E51&lt;0,"CASH SHORTAGE",IF(F51&lt;0,"BELOW CHOSEN FLOOR","")))))</f>
        <v/>
      </c>
    </row>
    <row r="52" spans="1:7" ht="32.1" customHeight="1">
      <c r="A52" s="14" t="str">
        <f>IF(Setup!$D$30&lt;&gt;"OK","",IF(Setup!$D$6+44&lt;=Setup!$D$8,Setup!$D$6+44,""))</f>
        <v/>
      </c>
      <c r="B52" s="15" t="str">
        <f>IF(A52="","",IF(OR(Setup!$D$30&lt;&gt;"OK",COUNTIF(Events!$I$8:$I$79,"CHECK")&gt;0),"PENDING",E51))</f>
        <v/>
      </c>
      <c r="C52" s="15" t="str">
        <f>IF(A52="","",IF(OR(Setup!$D$30&lt;&gt;"OK",COUNTIF(Events!$I$8:$I$79,"CHECK")&gt;0),"PENDING",SUMIFS(Events!$E$8:$E$79,Events!$A$8:$A$79,"&gt;="&amp;A52,Events!$A$8:$A$79,"&lt;"&amp;(A52+1),Events!$D$8:$D$79,"In",Events!$I$8:$I$79,"OK")))</f>
        <v/>
      </c>
      <c r="D52" s="15" t="str">
        <f>IF(A52="","",IF(OR(Setup!$D$30&lt;&gt;"OK",COUNTIF(Events!$I$8:$I$79,"CHECK")&gt;0),"PENDING",SUMIFS(Events!$E$8:$E$79,Events!$A$8:$A$79,"&gt;="&amp;A52,Events!$A$8:$A$79,"&lt;"&amp;(A52+1),Events!$D$8:$D$79,"Out",Events!$I$8:$I$79,"OK")))</f>
        <v/>
      </c>
      <c r="E52" s="15" t="str">
        <f t="shared" si="1"/>
        <v/>
      </c>
      <c r="F52" s="15" t="str">
        <f>IF(A52="","",IF(ISNUMBER(E52),E52-Setup!$D$12,"PENDING"))</f>
        <v/>
      </c>
      <c r="G52" s="16" t="str">
        <f>IF(A52="","",IF(NOT(ISNUMBER(E52)),"COMPLETE INPUTS",IF(AND(C52&gt;0,D52&gt;0,COUNTIFS(Events!$A$8:$A$79,"&gt;="&amp;A52,Events!$A$8:$A$79,"&lt;"&amp;(A52+1),Events!$D$8:$D$79,"In",Events!$G$8:$G$79,"Assumed",Events!$I$8:$I$79,"OK")&gt;0),"VERIFY SAME-DAY ORDER",IF(E52&lt;0,"CASH SHORTAGE",IF(F52&lt;0,"BELOW CHOSEN FLOOR","")))))</f>
        <v/>
      </c>
    </row>
    <row r="53" spans="1:7" ht="32.1" customHeight="1">
      <c r="A53" s="14" t="str">
        <f>IF(Setup!$D$30&lt;&gt;"OK","",IF(Setup!$D$6+45&lt;=Setup!$D$8,Setup!$D$6+45,""))</f>
        <v/>
      </c>
      <c r="B53" s="15" t="str">
        <f>IF(A53="","",IF(OR(Setup!$D$30&lt;&gt;"OK",COUNTIF(Events!$I$8:$I$79,"CHECK")&gt;0),"PENDING",E52))</f>
        <v/>
      </c>
      <c r="C53" s="15" t="str">
        <f>IF(A53="","",IF(OR(Setup!$D$30&lt;&gt;"OK",COUNTIF(Events!$I$8:$I$79,"CHECK")&gt;0),"PENDING",SUMIFS(Events!$E$8:$E$79,Events!$A$8:$A$79,"&gt;="&amp;A53,Events!$A$8:$A$79,"&lt;"&amp;(A53+1),Events!$D$8:$D$79,"In",Events!$I$8:$I$79,"OK")))</f>
        <v/>
      </c>
      <c r="D53" s="15" t="str">
        <f>IF(A53="","",IF(OR(Setup!$D$30&lt;&gt;"OK",COUNTIF(Events!$I$8:$I$79,"CHECK")&gt;0),"PENDING",SUMIFS(Events!$E$8:$E$79,Events!$A$8:$A$79,"&gt;="&amp;A53,Events!$A$8:$A$79,"&lt;"&amp;(A53+1),Events!$D$8:$D$79,"Out",Events!$I$8:$I$79,"OK")))</f>
        <v/>
      </c>
      <c r="E53" s="15" t="str">
        <f t="shared" si="1"/>
        <v/>
      </c>
      <c r="F53" s="15" t="str">
        <f>IF(A53="","",IF(ISNUMBER(E53),E53-Setup!$D$12,"PENDING"))</f>
        <v/>
      </c>
      <c r="G53" s="16" t="str">
        <f>IF(A53="","",IF(NOT(ISNUMBER(E53)),"COMPLETE INPUTS",IF(AND(C53&gt;0,D53&gt;0,COUNTIFS(Events!$A$8:$A$79,"&gt;="&amp;A53,Events!$A$8:$A$79,"&lt;"&amp;(A53+1),Events!$D$8:$D$79,"In",Events!$G$8:$G$79,"Assumed",Events!$I$8:$I$79,"OK")&gt;0),"VERIFY SAME-DAY ORDER",IF(E53&lt;0,"CASH SHORTAGE",IF(F53&lt;0,"BELOW CHOSEN FLOOR","")))))</f>
        <v/>
      </c>
    </row>
    <row r="54" spans="1:7" ht="32.1" customHeight="1">
      <c r="A54" s="14" t="str">
        <f>IF(Setup!$D$30&lt;&gt;"OK","",IF(Setup!$D$6+46&lt;=Setup!$D$8,Setup!$D$6+46,""))</f>
        <v/>
      </c>
      <c r="B54" s="15" t="str">
        <f>IF(A54="","",IF(OR(Setup!$D$30&lt;&gt;"OK",COUNTIF(Events!$I$8:$I$79,"CHECK")&gt;0),"PENDING",E53))</f>
        <v/>
      </c>
      <c r="C54" s="15" t="str">
        <f>IF(A54="","",IF(OR(Setup!$D$30&lt;&gt;"OK",COUNTIF(Events!$I$8:$I$79,"CHECK")&gt;0),"PENDING",SUMIFS(Events!$E$8:$E$79,Events!$A$8:$A$79,"&gt;="&amp;A54,Events!$A$8:$A$79,"&lt;"&amp;(A54+1),Events!$D$8:$D$79,"In",Events!$I$8:$I$79,"OK")))</f>
        <v/>
      </c>
      <c r="D54" s="15" t="str">
        <f>IF(A54="","",IF(OR(Setup!$D$30&lt;&gt;"OK",COUNTIF(Events!$I$8:$I$79,"CHECK")&gt;0),"PENDING",SUMIFS(Events!$E$8:$E$79,Events!$A$8:$A$79,"&gt;="&amp;A54,Events!$A$8:$A$79,"&lt;"&amp;(A54+1),Events!$D$8:$D$79,"Out",Events!$I$8:$I$79,"OK")))</f>
        <v/>
      </c>
      <c r="E54" s="15" t="str">
        <f t="shared" si="1"/>
        <v/>
      </c>
      <c r="F54" s="15" t="str">
        <f>IF(A54="","",IF(ISNUMBER(E54),E54-Setup!$D$12,"PENDING"))</f>
        <v/>
      </c>
      <c r="G54" s="16" t="str">
        <f>IF(A54="","",IF(NOT(ISNUMBER(E54)),"COMPLETE INPUTS",IF(AND(C54&gt;0,D54&gt;0,COUNTIFS(Events!$A$8:$A$79,"&gt;="&amp;A54,Events!$A$8:$A$79,"&lt;"&amp;(A54+1),Events!$D$8:$D$79,"In",Events!$G$8:$G$79,"Assumed",Events!$I$8:$I$79,"OK")&gt;0),"VERIFY SAME-DAY ORDER",IF(E54&lt;0,"CASH SHORTAGE",IF(F54&lt;0,"BELOW CHOSEN FLOOR","")))))</f>
        <v/>
      </c>
    </row>
    <row r="55" spans="1:7" ht="32.1" customHeight="1">
      <c r="A55" s="14" t="str">
        <f>IF(Setup!$D$30&lt;&gt;"OK","",IF(Setup!$D$6+47&lt;=Setup!$D$8,Setup!$D$6+47,""))</f>
        <v/>
      </c>
      <c r="B55" s="15" t="str">
        <f>IF(A55="","",IF(OR(Setup!$D$30&lt;&gt;"OK",COUNTIF(Events!$I$8:$I$79,"CHECK")&gt;0),"PENDING",E54))</f>
        <v/>
      </c>
      <c r="C55" s="15" t="str">
        <f>IF(A55="","",IF(OR(Setup!$D$30&lt;&gt;"OK",COUNTIF(Events!$I$8:$I$79,"CHECK")&gt;0),"PENDING",SUMIFS(Events!$E$8:$E$79,Events!$A$8:$A$79,"&gt;="&amp;A55,Events!$A$8:$A$79,"&lt;"&amp;(A55+1),Events!$D$8:$D$79,"In",Events!$I$8:$I$79,"OK")))</f>
        <v/>
      </c>
      <c r="D55" s="15" t="str">
        <f>IF(A55="","",IF(OR(Setup!$D$30&lt;&gt;"OK",COUNTIF(Events!$I$8:$I$79,"CHECK")&gt;0),"PENDING",SUMIFS(Events!$E$8:$E$79,Events!$A$8:$A$79,"&gt;="&amp;A55,Events!$A$8:$A$79,"&lt;"&amp;(A55+1),Events!$D$8:$D$79,"Out",Events!$I$8:$I$79,"OK")))</f>
        <v/>
      </c>
      <c r="E55" s="15" t="str">
        <f t="shared" si="1"/>
        <v/>
      </c>
      <c r="F55" s="15" t="str">
        <f>IF(A55="","",IF(ISNUMBER(E55),E55-Setup!$D$12,"PENDING"))</f>
        <v/>
      </c>
      <c r="G55" s="16" t="str">
        <f>IF(A55="","",IF(NOT(ISNUMBER(E55)),"COMPLETE INPUTS",IF(AND(C55&gt;0,D55&gt;0,COUNTIFS(Events!$A$8:$A$79,"&gt;="&amp;A55,Events!$A$8:$A$79,"&lt;"&amp;(A55+1),Events!$D$8:$D$79,"In",Events!$G$8:$G$79,"Assumed",Events!$I$8:$I$79,"OK")&gt;0),"VERIFY SAME-DAY ORDER",IF(E55&lt;0,"CASH SHORTAGE",IF(F55&lt;0,"BELOW CHOSEN FLOOR","")))))</f>
        <v/>
      </c>
    </row>
    <row r="56" spans="1:7" ht="32.1" customHeight="1">
      <c r="A56" s="14" t="str">
        <f>IF(Setup!$D$30&lt;&gt;"OK","",IF(Setup!$D$6+48&lt;=Setup!$D$8,Setup!$D$6+48,""))</f>
        <v/>
      </c>
      <c r="B56" s="15" t="str">
        <f>IF(A56="","",IF(OR(Setup!$D$30&lt;&gt;"OK",COUNTIF(Events!$I$8:$I$79,"CHECK")&gt;0),"PENDING",E55))</f>
        <v/>
      </c>
      <c r="C56" s="15" t="str">
        <f>IF(A56="","",IF(OR(Setup!$D$30&lt;&gt;"OK",COUNTIF(Events!$I$8:$I$79,"CHECK")&gt;0),"PENDING",SUMIFS(Events!$E$8:$E$79,Events!$A$8:$A$79,"&gt;="&amp;A56,Events!$A$8:$A$79,"&lt;"&amp;(A56+1),Events!$D$8:$D$79,"In",Events!$I$8:$I$79,"OK")))</f>
        <v/>
      </c>
      <c r="D56" s="15" t="str">
        <f>IF(A56="","",IF(OR(Setup!$D$30&lt;&gt;"OK",COUNTIF(Events!$I$8:$I$79,"CHECK")&gt;0),"PENDING",SUMIFS(Events!$E$8:$E$79,Events!$A$8:$A$79,"&gt;="&amp;A56,Events!$A$8:$A$79,"&lt;"&amp;(A56+1),Events!$D$8:$D$79,"Out",Events!$I$8:$I$79,"OK")))</f>
        <v/>
      </c>
      <c r="E56" s="15" t="str">
        <f t="shared" si="1"/>
        <v/>
      </c>
      <c r="F56" s="15" t="str">
        <f>IF(A56="","",IF(ISNUMBER(E56),E56-Setup!$D$12,"PENDING"))</f>
        <v/>
      </c>
      <c r="G56" s="16" t="str">
        <f>IF(A56="","",IF(NOT(ISNUMBER(E56)),"COMPLETE INPUTS",IF(AND(C56&gt;0,D56&gt;0,COUNTIFS(Events!$A$8:$A$79,"&gt;="&amp;A56,Events!$A$8:$A$79,"&lt;"&amp;(A56+1),Events!$D$8:$D$79,"In",Events!$G$8:$G$79,"Assumed",Events!$I$8:$I$79,"OK")&gt;0),"VERIFY SAME-DAY ORDER",IF(E56&lt;0,"CASH SHORTAGE",IF(F56&lt;0,"BELOW CHOSEN FLOOR","")))))</f>
        <v/>
      </c>
    </row>
    <row r="57" spans="1:7" ht="32.1" customHeight="1">
      <c r="A57" s="14" t="str">
        <f>IF(Setup!$D$30&lt;&gt;"OK","",IF(Setup!$D$6+49&lt;=Setup!$D$8,Setup!$D$6+49,""))</f>
        <v/>
      </c>
      <c r="B57" s="15" t="str">
        <f>IF(A57="","",IF(OR(Setup!$D$30&lt;&gt;"OK",COUNTIF(Events!$I$8:$I$79,"CHECK")&gt;0),"PENDING",E56))</f>
        <v/>
      </c>
      <c r="C57" s="15" t="str">
        <f>IF(A57="","",IF(OR(Setup!$D$30&lt;&gt;"OK",COUNTIF(Events!$I$8:$I$79,"CHECK")&gt;0),"PENDING",SUMIFS(Events!$E$8:$E$79,Events!$A$8:$A$79,"&gt;="&amp;A57,Events!$A$8:$A$79,"&lt;"&amp;(A57+1),Events!$D$8:$D$79,"In",Events!$I$8:$I$79,"OK")))</f>
        <v/>
      </c>
      <c r="D57" s="15" t="str">
        <f>IF(A57="","",IF(OR(Setup!$D$30&lt;&gt;"OK",COUNTIF(Events!$I$8:$I$79,"CHECK")&gt;0),"PENDING",SUMIFS(Events!$E$8:$E$79,Events!$A$8:$A$79,"&gt;="&amp;A57,Events!$A$8:$A$79,"&lt;"&amp;(A57+1),Events!$D$8:$D$79,"Out",Events!$I$8:$I$79,"OK")))</f>
        <v/>
      </c>
      <c r="E57" s="15" t="str">
        <f t="shared" si="1"/>
        <v/>
      </c>
      <c r="F57" s="15" t="str">
        <f>IF(A57="","",IF(ISNUMBER(E57),E57-Setup!$D$12,"PENDING"))</f>
        <v/>
      </c>
      <c r="G57" s="16" t="str">
        <f>IF(A57="","",IF(NOT(ISNUMBER(E57)),"COMPLETE INPUTS",IF(AND(C57&gt;0,D57&gt;0,COUNTIFS(Events!$A$8:$A$79,"&gt;="&amp;A57,Events!$A$8:$A$79,"&lt;"&amp;(A57+1),Events!$D$8:$D$79,"In",Events!$G$8:$G$79,"Assumed",Events!$I$8:$I$79,"OK")&gt;0),"VERIFY SAME-DAY ORDER",IF(E57&lt;0,"CASH SHORTAGE",IF(F57&lt;0,"BELOW CHOSEN FLOOR","")))))</f>
        <v/>
      </c>
    </row>
    <row r="58" spans="1:7" ht="32.1" customHeight="1">
      <c r="A58" s="14" t="str">
        <f>IF(Setup!$D$30&lt;&gt;"OK","",IF(Setup!$D$6+50&lt;=Setup!$D$8,Setup!$D$6+50,""))</f>
        <v/>
      </c>
      <c r="B58" s="15" t="str">
        <f>IF(A58="","",IF(OR(Setup!$D$30&lt;&gt;"OK",COUNTIF(Events!$I$8:$I$79,"CHECK")&gt;0),"PENDING",E57))</f>
        <v/>
      </c>
      <c r="C58" s="15" t="str">
        <f>IF(A58="","",IF(OR(Setup!$D$30&lt;&gt;"OK",COUNTIF(Events!$I$8:$I$79,"CHECK")&gt;0),"PENDING",SUMIFS(Events!$E$8:$E$79,Events!$A$8:$A$79,"&gt;="&amp;A58,Events!$A$8:$A$79,"&lt;"&amp;(A58+1),Events!$D$8:$D$79,"In",Events!$I$8:$I$79,"OK")))</f>
        <v/>
      </c>
      <c r="D58" s="15" t="str">
        <f>IF(A58="","",IF(OR(Setup!$D$30&lt;&gt;"OK",COUNTIF(Events!$I$8:$I$79,"CHECK")&gt;0),"PENDING",SUMIFS(Events!$E$8:$E$79,Events!$A$8:$A$79,"&gt;="&amp;A58,Events!$A$8:$A$79,"&lt;"&amp;(A58+1),Events!$D$8:$D$79,"Out",Events!$I$8:$I$79,"OK")))</f>
        <v/>
      </c>
      <c r="E58" s="15" t="str">
        <f t="shared" si="1"/>
        <v/>
      </c>
      <c r="F58" s="15" t="str">
        <f>IF(A58="","",IF(ISNUMBER(E58),E58-Setup!$D$12,"PENDING"))</f>
        <v/>
      </c>
      <c r="G58" s="16" t="str">
        <f>IF(A58="","",IF(NOT(ISNUMBER(E58)),"COMPLETE INPUTS",IF(AND(C58&gt;0,D58&gt;0,COUNTIFS(Events!$A$8:$A$79,"&gt;="&amp;A58,Events!$A$8:$A$79,"&lt;"&amp;(A58+1),Events!$D$8:$D$79,"In",Events!$G$8:$G$79,"Assumed",Events!$I$8:$I$79,"OK")&gt;0),"VERIFY SAME-DAY ORDER",IF(E58&lt;0,"CASH SHORTAGE",IF(F58&lt;0,"BELOW CHOSEN FLOOR","")))))</f>
        <v/>
      </c>
    </row>
    <row r="59" spans="1:7" ht="32.1" customHeight="1">
      <c r="A59" s="14" t="str">
        <f>IF(Setup!$D$30&lt;&gt;"OK","",IF(Setup!$D$6+51&lt;=Setup!$D$8,Setup!$D$6+51,""))</f>
        <v/>
      </c>
      <c r="B59" s="15" t="str">
        <f>IF(A59="","",IF(OR(Setup!$D$30&lt;&gt;"OK",COUNTIF(Events!$I$8:$I$79,"CHECK")&gt;0),"PENDING",E58))</f>
        <v/>
      </c>
      <c r="C59" s="15" t="str">
        <f>IF(A59="","",IF(OR(Setup!$D$30&lt;&gt;"OK",COUNTIF(Events!$I$8:$I$79,"CHECK")&gt;0),"PENDING",SUMIFS(Events!$E$8:$E$79,Events!$A$8:$A$79,"&gt;="&amp;A59,Events!$A$8:$A$79,"&lt;"&amp;(A59+1),Events!$D$8:$D$79,"In",Events!$I$8:$I$79,"OK")))</f>
        <v/>
      </c>
      <c r="D59" s="15" t="str">
        <f>IF(A59="","",IF(OR(Setup!$D$30&lt;&gt;"OK",COUNTIF(Events!$I$8:$I$79,"CHECK")&gt;0),"PENDING",SUMIFS(Events!$E$8:$E$79,Events!$A$8:$A$79,"&gt;="&amp;A59,Events!$A$8:$A$79,"&lt;"&amp;(A59+1),Events!$D$8:$D$79,"Out",Events!$I$8:$I$79,"OK")))</f>
        <v/>
      </c>
      <c r="E59" s="15" t="str">
        <f t="shared" si="1"/>
        <v/>
      </c>
      <c r="F59" s="15" t="str">
        <f>IF(A59="","",IF(ISNUMBER(E59),E59-Setup!$D$12,"PENDING"))</f>
        <v/>
      </c>
      <c r="G59" s="16" t="str">
        <f>IF(A59="","",IF(NOT(ISNUMBER(E59)),"COMPLETE INPUTS",IF(AND(C59&gt;0,D59&gt;0,COUNTIFS(Events!$A$8:$A$79,"&gt;="&amp;A59,Events!$A$8:$A$79,"&lt;"&amp;(A59+1),Events!$D$8:$D$79,"In",Events!$G$8:$G$79,"Assumed",Events!$I$8:$I$79,"OK")&gt;0),"VERIFY SAME-DAY ORDER",IF(E59&lt;0,"CASH SHORTAGE",IF(F59&lt;0,"BELOW CHOSEN FLOOR","")))))</f>
        <v/>
      </c>
    </row>
    <row r="60" spans="1:7" ht="32.1" customHeight="1">
      <c r="A60" s="14" t="str">
        <f>IF(Setup!$D$30&lt;&gt;"OK","",IF(Setup!$D$6+52&lt;=Setup!$D$8,Setup!$D$6+52,""))</f>
        <v/>
      </c>
      <c r="B60" s="15" t="str">
        <f>IF(A60="","",IF(OR(Setup!$D$30&lt;&gt;"OK",COUNTIF(Events!$I$8:$I$79,"CHECK")&gt;0),"PENDING",E59))</f>
        <v/>
      </c>
      <c r="C60" s="15" t="str">
        <f>IF(A60="","",IF(OR(Setup!$D$30&lt;&gt;"OK",COUNTIF(Events!$I$8:$I$79,"CHECK")&gt;0),"PENDING",SUMIFS(Events!$E$8:$E$79,Events!$A$8:$A$79,"&gt;="&amp;A60,Events!$A$8:$A$79,"&lt;"&amp;(A60+1),Events!$D$8:$D$79,"In",Events!$I$8:$I$79,"OK")))</f>
        <v/>
      </c>
      <c r="D60" s="15" t="str">
        <f>IF(A60="","",IF(OR(Setup!$D$30&lt;&gt;"OK",COUNTIF(Events!$I$8:$I$79,"CHECK")&gt;0),"PENDING",SUMIFS(Events!$E$8:$E$79,Events!$A$8:$A$79,"&gt;="&amp;A60,Events!$A$8:$A$79,"&lt;"&amp;(A60+1),Events!$D$8:$D$79,"Out",Events!$I$8:$I$79,"OK")))</f>
        <v/>
      </c>
      <c r="E60" s="15" t="str">
        <f t="shared" si="1"/>
        <v/>
      </c>
      <c r="F60" s="15" t="str">
        <f>IF(A60="","",IF(ISNUMBER(E60),E60-Setup!$D$12,"PENDING"))</f>
        <v/>
      </c>
      <c r="G60" s="16" t="str">
        <f>IF(A60="","",IF(NOT(ISNUMBER(E60)),"COMPLETE INPUTS",IF(AND(C60&gt;0,D60&gt;0,COUNTIFS(Events!$A$8:$A$79,"&gt;="&amp;A60,Events!$A$8:$A$79,"&lt;"&amp;(A60+1),Events!$D$8:$D$79,"In",Events!$G$8:$G$79,"Assumed",Events!$I$8:$I$79,"OK")&gt;0),"VERIFY SAME-DAY ORDER",IF(E60&lt;0,"CASH SHORTAGE",IF(F60&lt;0,"BELOW CHOSEN FLOOR","")))))</f>
        <v/>
      </c>
    </row>
    <row r="61" spans="1:7" ht="32.1" customHeight="1">
      <c r="A61" s="14" t="str">
        <f>IF(Setup!$D$30&lt;&gt;"OK","",IF(Setup!$D$6+53&lt;=Setup!$D$8,Setup!$D$6+53,""))</f>
        <v/>
      </c>
      <c r="B61" s="15" t="str">
        <f>IF(A61="","",IF(OR(Setup!$D$30&lt;&gt;"OK",COUNTIF(Events!$I$8:$I$79,"CHECK")&gt;0),"PENDING",E60))</f>
        <v/>
      </c>
      <c r="C61" s="15" t="str">
        <f>IF(A61="","",IF(OR(Setup!$D$30&lt;&gt;"OK",COUNTIF(Events!$I$8:$I$79,"CHECK")&gt;0),"PENDING",SUMIFS(Events!$E$8:$E$79,Events!$A$8:$A$79,"&gt;="&amp;A61,Events!$A$8:$A$79,"&lt;"&amp;(A61+1),Events!$D$8:$D$79,"In",Events!$I$8:$I$79,"OK")))</f>
        <v/>
      </c>
      <c r="D61" s="15" t="str">
        <f>IF(A61="","",IF(OR(Setup!$D$30&lt;&gt;"OK",COUNTIF(Events!$I$8:$I$79,"CHECK")&gt;0),"PENDING",SUMIFS(Events!$E$8:$E$79,Events!$A$8:$A$79,"&gt;="&amp;A61,Events!$A$8:$A$79,"&lt;"&amp;(A61+1),Events!$D$8:$D$79,"Out",Events!$I$8:$I$79,"OK")))</f>
        <v/>
      </c>
      <c r="E61" s="15" t="str">
        <f t="shared" si="1"/>
        <v/>
      </c>
      <c r="F61" s="15" t="str">
        <f>IF(A61="","",IF(ISNUMBER(E61),E61-Setup!$D$12,"PENDING"))</f>
        <v/>
      </c>
      <c r="G61" s="16" t="str">
        <f>IF(A61="","",IF(NOT(ISNUMBER(E61)),"COMPLETE INPUTS",IF(AND(C61&gt;0,D61&gt;0,COUNTIFS(Events!$A$8:$A$79,"&gt;="&amp;A61,Events!$A$8:$A$79,"&lt;"&amp;(A61+1),Events!$D$8:$D$79,"In",Events!$G$8:$G$79,"Assumed",Events!$I$8:$I$79,"OK")&gt;0),"VERIFY SAME-DAY ORDER",IF(E61&lt;0,"CASH SHORTAGE",IF(F61&lt;0,"BELOW CHOSEN FLOOR","")))))</f>
        <v/>
      </c>
    </row>
    <row r="62" spans="1:7" ht="32.1" customHeight="1">
      <c r="A62" s="14" t="str">
        <f>IF(Setup!$D$30&lt;&gt;"OK","",IF(Setup!$D$6+54&lt;=Setup!$D$8,Setup!$D$6+54,""))</f>
        <v/>
      </c>
      <c r="B62" s="15" t="str">
        <f>IF(A62="","",IF(OR(Setup!$D$30&lt;&gt;"OK",COUNTIF(Events!$I$8:$I$79,"CHECK")&gt;0),"PENDING",E61))</f>
        <v/>
      </c>
      <c r="C62" s="15" t="str">
        <f>IF(A62="","",IF(OR(Setup!$D$30&lt;&gt;"OK",COUNTIF(Events!$I$8:$I$79,"CHECK")&gt;0),"PENDING",SUMIFS(Events!$E$8:$E$79,Events!$A$8:$A$79,"&gt;="&amp;A62,Events!$A$8:$A$79,"&lt;"&amp;(A62+1),Events!$D$8:$D$79,"In",Events!$I$8:$I$79,"OK")))</f>
        <v/>
      </c>
      <c r="D62" s="15" t="str">
        <f>IF(A62="","",IF(OR(Setup!$D$30&lt;&gt;"OK",COUNTIF(Events!$I$8:$I$79,"CHECK")&gt;0),"PENDING",SUMIFS(Events!$E$8:$E$79,Events!$A$8:$A$79,"&gt;="&amp;A62,Events!$A$8:$A$79,"&lt;"&amp;(A62+1),Events!$D$8:$D$79,"Out",Events!$I$8:$I$79,"OK")))</f>
        <v/>
      </c>
      <c r="E62" s="15" t="str">
        <f t="shared" si="1"/>
        <v/>
      </c>
      <c r="F62" s="15" t="str">
        <f>IF(A62="","",IF(ISNUMBER(E62),E62-Setup!$D$12,"PENDING"))</f>
        <v/>
      </c>
      <c r="G62" s="16" t="str">
        <f>IF(A62="","",IF(NOT(ISNUMBER(E62)),"COMPLETE INPUTS",IF(AND(C62&gt;0,D62&gt;0,COUNTIFS(Events!$A$8:$A$79,"&gt;="&amp;A62,Events!$A$8:$A$79,"&lt;"&amp;(A62+1),Events!$D$8:$D$79,"In",Events!$G$8:$G$79,"Assumed",Events!$I$8:$I$79,"OK")&gt;0),"VERIFY SAME-DAY ORDER",IF(E62&lt;0,"CASH SHORTAGE",IF(F62&lt;0,"BELOW CHOSEN FLOOR","")))))</f>
        <v/>
      </c>
    </row>
    <row r="63" spans="1:7" ht="32.1" customHeight="1">
      <c r="A63" s="14" t="str">
        <f>IF(Setup!$D$30&lt;&gt;"OK","",IF(Setup!$D$6+55&lt;=Setup!$D$8,Setup!$D$6+55,""))</f>
        <v/>
      </c>
      <c r="B63" s="15" t="str">
        <f>IF(A63="","",IF(OR(Setup!$D$30&lt;&gt;"OK",COUNTIF(Events!$I$8:$I$79,"CHECK")&gt;0),"PENDING",E62))</f>
        <v/>
      </c>
      <c r="C63" s="15" t="str">
        <f>IF(A63="","",IF(OR(Setup!$D$30&lt;&gt;"OK",COUNTIF(Events!$I$8:$I$79,"CHECK")&gt;0),"PENDING",SUMIFS(Events!$E$8:$E$79,Events!$A$8:$A$79,"&gt;="&amp;A63,Events!$A$8:$A$79,"&lt;"&amp;(A63+1),Events!$D$8:$D$79,"In",Events!$I$8:$I$79,"OK")))</f>
        <v/>
      </c>
      <c r="D63" s="15" t="str">
        <f>IF(A63="","",IF(OR(Setup!$D$30&lt;&gt;"OK",COUNTIF(Events!$I$8:$I$79,"CHECK")&gt;0),"PENDING",SUMIFS(Events!$E$8:$E$79,Events!$A$8:$A$79,"&gt;="&amp;A63,Events!$A$8:$A$79,"&lt;"&amp;(A63+1),Events!$D$8:$D$79,"Out",Events!$I$8:$I$79,"OK")))</f>
        <v/>
      </c>
      <c r="E63" s="15" t="str">
        <f t="shared" si="1"/>
        <v/>
      </c>
      <c r="F63" s="15" t="str">
        <f>IF(A63="","",IF(ISNUMBER(E63),E63-Setup!$D$12,"PENDING"))</f>
        <v/>
      </c>
      <c r="G63" s="16" t="str">
        <f>IF(A63="","",IF(NOT(ISNUMBER(E63)),"COMPLETE INPUTS",IF(AND(C63&gt;0,D63&gt;0,COUNTIFS(Events!$A$8:$A$79,"&gt;="&amp;A63,Events!$A$8:$A$79,"&lt;"&amp;(A63+1),Events!$D$8:$D$79,"In",Events!$G$8:$G$79,"Assumed",Events!$I$8:$I$79,"OK")&gt;0),"VERIFY SAME-DAY ORDER",IF(E63&lt;0,"CASH SHORTAGE",IF(F63&lt;0,"BELOW CHOSEN FLOOR","")))))</f>
        <v/>
      </c>
    </row>
    <row r="64" spans="1:7" ht="32.1" customHeight="1">
      <c r="A64" s="14" t="str">
        <f>IF(Setup!$D$30&lt;&gt;"OK","",IF(Setup!$D$6+56&lt;=Setup!$D$8,Setup!$D$6+56,""))</f>
        <v/>
      </c>
      <c r="B64" s="15" t="str">
        <f>IF(A64="","",IF(OR(Setup!$D$30&lt;&gt;"OK",COUNTIF(Events!$I$8:$I$79,"CHECK")&gt;0),"PENDING",E63))</f>
        <v/>
      </c>
      <c r="C64" s="15" t="str">
        <f>IF(A64="","",IF(OR(Setup!$D$30&lt;&gt;"OK",COUNTIF(Events!$I$8:$I$79,"CHECK")&gt;0),"PENDING",SUMIFS(Events!$E$8:$E$79,Events!$A$8:$A$79,"&gt;="&amp;A64,Events!$A$8:$A$79,"&lt;"&amp;(A64+1),Events!$D$8:$D$79,"In",Events!$I$8:$I$79,"OK")))</f>
        <v/>
      </c>
      <c r="D64" s="15" t="str">
        <f>IF(A64="","",IF(OR(Setup!$D$30&lt;&gt;"OK",COUNTIF(Events!$I$8:$I$79,"CHECK")&gt;0),"PENDING",SUMIFS(Events!$E$8:$E$79,Events!$A$8:$A$79,"&gt;="&amp;A64,Events!$A$8:$A$79,"&lt;"&amp;(A64+1),Events!$D$8:$D$79,"Out",Events!$I$8:$I$79,"OK")))</f>
        <v/>
      </c>
      <c r="E64" s="15" t="str">
        <f t="shared" si="1"/>
        <v/>
      </c>
      <c r="F64" s="15" t="str">
        <f>IF(A64="","",IF(ISNUMBER(E64),E64-Setup!$D$12,"PENDING"))</f>
        <v/>
      </c>
      <c r="G64" s="16" t="str">
        <f>IF(A64="","",IF(NOT(ISNUMBER(E64)),"COMPLETE INPUTS",IF(AND(C64&gt;0,D64&gt;0,COUNTIFS(Events!$A$8:$A$79,"&gt;="&amp;A64,Events!$A$8:$A$79,"&lt;"&amp;(A64+1),Events!$D$8:$D$79,"In",Events!$G$8:$G$79,"Assumed",Events!$I$8:$I$79,"OK")&gt;0),"VERIFY SAME-DAY ORDER",IF(E64&lt;0,"CASH SHORTAGE",IF(F64&lt;0,"BELOW CHOSEN FLOOR","")))))</f>
        <v/>
      </c>
    </row>
    <row r="65" spans="1:7" ht="32.1" customHeight="1">
      <c r="A65" s="14" t="str">
        <f>IF(Setup!$D$30&lt;&gt;"OK","",IF(Setup!$D$6+57&lt;=Setup!$D$8,Setup!$D$6+57,""))</f>
        <v/>
      </c>
      <c r="B65" s="15" t="str">
        <f>IF(A65="","",IF(OR(Setup!$D$30&lt;&gt;"OK",COUNTIF(Events!$I$8:$I$79,"CHECK")&gt;0),"PENDING",E64))</f>
        <v/>
      </c>
      <c r="C65" s="15" t="str">
        <f>IF(A65="","",IF(OR(Setup!$D$30&lt;&gt;"OK",COUNTIF(Events!$I$8:$I$79,"CHECK")&gt;0),"PENDING",SUMIFS(Events!$E$8:$E$79,Events!$A$8:$A$79,"&gt;="&amp;A65,Events!$A$8:$A$79,"&lt;"&amp;(A65+1),Events!$D$8:$D$79,"In",Events!$I$8:$I$79,"OK")))</f>
        <v/>
      </c>
      <c r="D65" s="15" t="str">
        <f>IF(A65="","",IF(OR(Setup!$D$30&lt;&gt;"OK",COUNTIF(Events!$I$8:$I$79,"CHECK")&gt;0),"PENDING",SUMIFS(Events!$E$8:$E$79,Events!$A$8:$A$79,"&gt;="&amp;A65,Events!$A$8:$A$79,"&lt;"&amp;(A65+1),Events!$D$8:$D$79,"Out",Events!$I$8:$I$79,"OK")))</f>
        <v/>
      </c>
      <c r="E65" s="15" t="str">
        <f t="shared" si="1"/>
        <v/>
      </c>
      <c r="F65" s="15" t="str">
        <f>IF(A65="","",IF(ISNUMBER(E65),E65-Setup!$D$12,"PENDING"))</f>
        <v/>
      </c>
      <c r="G65" s="16" t="str">
        <f>IF(A65="","",IF(NOT(ISNUMBER(E65)),"COMPLETE INPUTS",IF(AND(C65&gt;0,D65&gt;0,COUNTIFS(Events!$A$8:$A$79,"&gt;="&amp;A65,Events!$A$8:$A$79,"&lt;"&amp;(A65+1),Events!$D$8:$D$79,"In",Events!$G$8:$G$79,"Assumed",Events!$I$8:$I$79,"OK")&gt;0),"VERIFY SAME-DAY ORDER",IF(E65&lt;0,"CASH SHORTAGE",IF(F65&lt;0,"BELOW CHOSEN FLOOR","")))))</f>
        <v/>
      </c>
    </row>
    <row r="66" spans="1:7" ht="32.1" customHeight="1">
      <c r="A66" s="14" t="str">
        <f>IF(Setup!$D$30&lt;&gt;"OK","",IF(Setup!$D$6+58&lt;=Setup!$D$8,Setup!$D$6+58,""))</f>
        <v/>
      </c>
      <c r="B66" s="15" t="str">
        <f>IF(A66="","",IF(OR(Setup!$D$30&lt;&gt;"OK",COUNTIF(Events!$I$8:$I$79,"CHECK")&gt;0),"PENDING",E65))</f>
        <v/>
      </c>
      <c r="C66" s="15" t="str">
        <f>IF(A66="","",IF(OR(Setup!$D$30&lt;&gt;"OK",COUNTIF(Events!$I$8:$I$79,"CHECK")&gt;0),"PENDING",SUMIFS(Events!$E$8:$E$79,Events!$A$8:$A$79,"&gt;="&amp;A66,Events!$A$8:$A$79,"&lt;"&amp;(A66+1),Events!$D$8:$D$79,"In",Events!$I$8:$I$79,"OK")))</f>
        <v/>
      </c>
      <c r="D66" s="15" t="str">
        <f>IF(A66="","",IF(OR(Setup!$D$30&lt;&gt;"OK",COUNTIF(Events!$I$8:$I$79,"CHECK")&gt;0),"PENDING",SUMIFS(Events!$E$8:$E$79,Events!$A$8:$A$79,"&gt;="&amp;A66,Events!$A$8:$A$79,"&lt;"&amp;(A66+1),Events!$D$8:$D$79,"Out",Events!$I$8:$I$79,"OK")))</f>
        <v/>
      </c>
      <c r="E66" s="15" t="str">
        <f t="shared" si="1"/>
        <v/>
      </c>
      <c r="F66" s="15" t="str">
        <f>IF(A66="","",IF(ISNUMBER(E66),E66-Setup!$D$12,"PENDING"))</f>
        <v/>
      </c>
      <c r="G66" s="16" t="str">
        <f>IF(A66="","",IF(NOT(ISNUMBER(E66)),"COMPLETE INPUTS",IF(AND(C66&gt;0,D66&gt;0,COUNTIFS(Events!$A$8:$A$79,"&gt;="&amp;A66,Events!$A$8:$A$79,"&lt;"&amp;(A66+1),Events!$D$8:$D$79,"In",Events!$G$8:$G$79,"Assumed",Events!$I$8:$I$79,"OK")&gt;0),"VERIFY SAME-DAY ORDER",IF(E66&lt;0,"CASH SHORTAGE",IF(F66&lt;0,"BELOW CHOSEN FLOOR","")))))</f>
        <v/>
      </c>
    </row>
    <row r="67" spans="1:7" ht="32.1" customHeight="1">
      <c r="A67" s="14" t="str">
        <f>IF(Setup!$D$30&lt;&gt;"OK","",IF(Setup!$D$6+59&lt;=Setup!$D$8,Setup!$D$6+59,""))</f>
        <v/>
      </c>
      <c r="B67" s="15" t="str">
        <f>IF(A67="","",IF(OR(Setup!$D$30&lt;&gt;"OK",COUNTIF(Events!$I$8:$I$79,"CHECK")&gt;0),"PENDING",E66))</f>
        <v/>
      </c>
      <c r="C67" s="15" t="str">
        <f>IF(A67="","",IF(OR(Setup!$D$30&lt;&gt;"OK",COUNTIF(Events!$I$8:$I$79,"CHECK")&gt;0),"PENDING",SUMIFS(Events!$E$8:$E$79,Events!$A$8:$A$79,"&gt;="&amp;A67,Events!$A$8:$A$79,"&lt;"&amp;(A67+1),Events!$D$8:$D$79,"In",Events!$I$8:$I$79,"OK")))</f>
        <v/>
      </c>
      <c r="D67" s="15" t="str">
        <f>IF(A67="","",IF(OR(Setup!$D$30&lt;&gt;"OK",COUNTIF(Events!$I$8:$I$79,"CHECK")&gt;0),"PENDING",SUMIFS(Events!$E$8:$E$79,Events!$A$8:$A$79,"&gt;="&amp;A67,Events!$A$8:$A$79,"&lt;"&amp;(A67+1),Events!$D$8:$D$79,"Out",Events!$I$8:$I$79,"OK")))</f>
        <v/>
      </c>
      <c r="E67" s="15" t="str">
        <f t="shared" si="1"/>
        <v/>
      </c>
      <c r="F67" s="15" t="str">
        <f>IF(A67="","",IF(ISNUMBER(E67),E67-Setup!$D$12,"PENDING"))</f>
        <v/>
      </c>
      <c r="G67" s="16" t="str">
        <f>IF(A67="","",IF(NOT(ISNUMBER(E67)),"COMPLETE INPUTS",IF(AND(C67&gt;0,D67&gt;0,COUNTIFS(Events!$A$8:$A$79,"&gt;="&amp;A67,Events!$A$8:$A$79,"&lt;"&amp;(A67+1),Events!$D$8:$D$79,"In",Events!$G$8:$G$79,"Assumed",Events!$I$8:$I$79,"OK")&gt;0),"VERIFY SAME-DAY ORDER",IF(E67&lt;0,"CASH SHORTAGE",IF(F67&lt;0,"BELOW CHOSEN FLOOR","")))))</f>
        <v/>
      </c>
    </row>
    <row r="68" spans="1:7" ht="32.1" customHeight="1">
      <c r="A68" s="14" t="str">
        <f>IF(Setup!$D$30&lt;&gt;"OK","",IF(Setup!$D$6+60&lt;=Setup!$D$8,Setup!$D$6+60,""))</f>
        <v/>
      </c>
      <c r="B68" s="15" t="str">
        <f>IF(A68="","",IF(OR(Setup!$D$30&lt;&gt;"OK",COUNTIF(Events!$I$8:$I$79,"CHECK")&gt;0),"PENDING",E67))</f>
        <v/>
      </c>
      <c r="C68" s="15" t="str">
        <f>IF(A68="","",IF(OR(Setup!$D$30&lt;&gt;"OK",COUNTIF(Events!$I$8:$I$79,"CHECK")&gt;0),"PENDING",SUMIFS(Events!$E$8:$E$79,Events!$A$8:$A$79,"&gt;="&amp;A68,Events!$A$8:$A$79,"&lt;"&amp;(A68+1),Events!$D$8:$D$79,"In",Events!$I$8:$I$79,"OK")))</f>
        <v/>
      </c>
      <c r="D68" s="15" t="str">
        <f>IF(A68="","",IF(OR(Setup!$D$30&lt;&gt;"OK",COUNTIF(Events!$I$8:$I$79,"CHECK")&gt;0),"PENDING",SUMIFS(Events!$E$8:$E$79,Events!$A$8:$A$79,"&gt;="&amp;A68,Events!$A$8:$A$79,"&lt;"&amp;(A68+1),Events!$D$8:$D$79,"Out",Events!$I$8:$I$79,"OK")))</f>
        <v/>
      </c>
      <c r="E68" s="15" t="str">
        <f t="shared" si="1"/>
        <v/>
      </c>
      <c r="F68" s="15" t="str">
        <f>IF(A68="","",IF(ISNUMBER(E68),E68-Setup!$D$12,"PENDING"))</f>
        <v/>
      </c>
      <c r="G68" s="16" t="str">
        <f>IF(A68="","",IF(NOT(ISNUMBER(E68)),"COMPLETE INPUTS",IF(AND(C68&gt;0,D68&gt;0,COUNTIFS(Events!$A$8:$A$79,"&gt;="&amp;A68,Events!$A$8:$A$79,"&lt;"&amp;(A68+1),Events!$D$8:$D$79,"In",Events!$G$8:$G$79,"Assumed",Events!$I$8:$I$79,"OK")&gt;0),"VERIFY SAME-DAY ORDER",IF(E68&lt;0,"CASH SHORTAGE",IF(F68&lt;0,"BELOW CHOSEN FLOOR","")))))</f>
        <v/>
      </c>
    </row>
    <row r="69" spans="1:7" ht="32.1" customHeight="1">
      <c r="A69" s="17" t="str">
        <f>IF(Setup!$D$30&lt;&gt;"OK","",IF(Setup!$D$6+61&lt;=Setup!$D$8,Setup!$D$6+61,""))</f>
        <v/>
      </c>
      <c r="B69" s="18" t="str">
        <f>IF(A69="","",IF(OR(Setup!$D$30&lt;&gt;"OK",COUNTIF(Events!$I$8:$I$79,"CHECK")&gt;0),"PENDING",E68))</f>
        <v/>
      </c>
      <c r="C69" s="18" t="str">
        <f>IF(A69="","",IF(OR(Setup!$D$30&lt;&gt;"OK",COUNTIF(Events!$I$8:$I$79,"CHECK")&gt;0),"PENDING",SUMIFS(Events!$E$8:$E$79,Events!$A$8:$A$79,"&gt;="&amp;A69,Events!$A$8:$A$79,"&lt;"&amp;(A69+1),Events!$D$8:$D$79,"In",Events!$I$8:$I$79,"OK")))</f>
        <v/>
      </c>
      <c r="D69" s="18" t="str">
        <f>IF(A69="","",IF(OR(Setup!$D$30&lt;&gt;"OK",COUNTIF(Events!$I$8:$I$79,"CHECK")&gt;0),"PENDING",SUMIFS(Events!$E$8:$E$79,Events!$A$8:$A$79,"&gt;="&amp;A69,Events!$A$8:$A$79,"&lt;"&amp;(A69+1),Events!$D$8:$D$79,"Out",Events!$I$8:$I$79,"OK")))</f>
        <v/>
      </c>
      <c r="E69" s="18" t="str">
        <f t="shared" si="1"/>
        <v/>
      </c>
      <c r="F69" s="18" t="str">
        <f>IF(A69="","",IF(ISNUMBER(E69),E69-Setup!$D$12,"PENDING"))</f>
        <v/>
      </c>
      <c r="G69" s="19" t="str">
        <f>IF(A69="","",IF(NOT(ISNUMBER(E69)),"COMPLETE INPUTS",IF(AND(C69&gt;0,D69&gt;0,COUNTIFS(Events!$A$8:$A$79,"&gt;="&amp;A69,Events!$A$8:$A$79,"&lt;"&amp;(A69+1),Events!$D$8:$D$79,"In",Events!$G$8:$G$79,"Assumed",Events!$I$8:$I$79,"OK")&gt;0),"VERIFY SAME-DAY ORDER",IF(E69&lt;0,"CASH SHORTAGE",IF(F69&lt;0,"BELOW CHOSEN FLOOR","")))))</f>
        <v/>
      </c>
    </row>
    <row r="70" spans="1:7" ht="24" customHeight="1">
      <c r="A70" s="1"/>
      <c r="B70" s="1"/>
      <c r="C70" s="1"/>
      <c r="D70" s="1"/>
      <c r="E70" s="1"/>
      <c r="F70" s="1"/>
      <c r="G70" s="1"/>
    </row>
    <row r="71" spans="1:7" ht="24" customHeight="1">
      <c r="A71" s="1"/>
      <c r="B71" s="1"/>
      <c r="C71" s="1"/>
      <c r="D71" s="1"/>
      <c r="E71" s="1"/>
      <c r="F71" s="1"/>
      <c r="G71" s="1"/>
    </row>
    <row r="72" spans="1:7" ht="24" customHeight="1">
      <c r="A72" s="1"/>
      <c r="B72" s="1"/>
      <c r="C72" s="1"/>
      <c r="D72" s="1"/>
      <c r="E72" s="1"/>
      <c r="F72" s="1"/>
      <c r="G72" s="1"/>
    </row>
  </sheetData>
  <mergeCells count="2">
    <mergeCell ref="A1:G2"/>
    <mergeCell ref="A3:G4"/>
  </mergeCells>
  <conditionalFormatting sqref="F8:F69">
    <cfRule type="cellIs" dxfId="0" priority="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8"/>
  <sheetViews>
    <sheetView showGridLines="0" workbookViewId="0"/>
  </sheetViews>
  <sheetFormatPr defaultRowHeight="14.25"/>
  <cols>
    <col min="1" max="1" width="27" customWidth="1"/>
    <col min="2" max="3" width="20" customWidth="1"/>
    <col min="4" max="4" width="22" customWidth="1"/>
    <col min="5" max="5" width="26" customWidth="1"/>
    <col min="6" max="6" width="22" customWidth="1"/>
  </cols>
  <sheetData>
    <row r="1" spans="1:6" ht="26.1" customHeight="1">
      <c r="A1" s="21" t="s">
        <v>53</v>
      </c>
      <c r="B1" s="21"/>
      <c r="C1" s="21"/>
      <c r="D1" s="21"/>
      <c r="E1" s="21"/>
      <c r="F1" s="21"/>
    </row>
    <row r="2" spans="1:6" ht="26.1" customHeight="1">
      <c r="A2" s="21"/>
      <c r="B2" s="21"/>
      <c r="C2" s="21"/>
      <c r="D2" s="21"/>
      <c r="E2" s="21"/>
      <c r="F2" s="21"/>
    </row>
    <row r="3" spans="1:6" ht="24" customHeight="1">
      <c r="A3" s="22" t="s">
        <v>54</v>
      </c>
      <c r="B3" s="22"/>
      <c r="C3" s="22"/>
      <c r="D3" s="22"/>
      <c r="E3" s="22"/>
      <c r="F3" s="22"/>
    </row>
    <row r="4" spans="1:6" ht="24" customHeight="1">
      <c r="A4" s="22"/>
      <c r="B4" s="22"/>
      <c r="C4" s="22"/>
      <c r="D4" s="22"/>
      <c r="E4" s="22"/>
      <c r="F4" s="22"/>
    </row>
    <row r="5" spans="1:6" ht="24" customHeight="1">
      <c r="A5" s="1"/>
      <c r="B5" s="1"/>
      <c r="C5" s="1"/>
      <c r="D5" s="1"/>
      <c r="E5" s="1"/>
      <c r="F5" s="1"/>
    </row>
    <row r="6" spans="1:6" ht="24.95" customHeight="1">
      <c r="A6" s="25" t="s">
        <v>55</v>
      </c>
      <c r="B6" s="25"/>
      <c r="C6" s="25"/>
      <c r="D6" s="26"/>
      <c r="E6" s="26"/>
      <c r="F6" s="26"/>
    </row>
    <row r="7" spans="1:6" ht="24.95" customHeight="1">
      <c r="A7" s="25"/>
      <c r="B7" s="25"/>
      <c r="C7" s="25"/>
      <c r="D7" s="26"/>
      <c r="E7" s="26"/>
      <c r="F7" s="26"/>
    </row>
    <row r="8" spans="1:6" ht="24.95" customHeight="1">
      <c r="A8" s="25" t="s">
        <v>56</v>
      </c>
      <c r="B8" s="25"/>
      <c r="C8" s="25"/>
      <c r="D8" s="27"/>
      <c r="E8" s="27"/>
      <c r="F8" s="27"/>
    </row>
    <row r="9" spans="1:6" ht="24.95" customHeight="1">
      <c r="A9" s="25"/>
      <c r="B9" s="25"/>
      <c r="C9" s="25"/>
      <c r="D9" s="27"/>
      <c r="E9" s="27"/>
      <c r="F9" s="27"/>
    </row>
    <row r="10" spans="1:6" ht="24.95" customHeight="1">
      <c r="A10" s="25" t="s">
        <v>57</v>
      </c>
      <c r="B10" s="25"/>
      <c r="C10" s="25"/>
      <c r="D10" s="28"/>
      <c r="E10" s="28"/>
      <c r="F10" s="28"/>
    </row>
    <row r="11" spans="1:6" ht="24.95" customHeight="1">
      <c r="A11" s="25"/>
      <c r="B11" s="25"/>
      <c r="C11" s="25"/>
      <c r="D11" s="28"/>
      <c r="E11" s="28"/>
      <c r="F11" s="28"/>
    </row>
    <row r="12" spans="1:6" ht="24.95" customHeight="1">
      <c r="A12" s="25" t="s">
        <v>58</v>
      </c>
      <c r="B12" s="25"/>
      <c r="C12" s="25"/>
      <c r="D12" s="27"/>
      <c r="E12" s="27"/>
      <c r="F12" s="27"/>
    </row>
    <row r="13" spans="1:6" ht="24.95" customHeight="1">
      <c r="A13" s="25"/>
      <c r="B13" s="25"/>
      <c r="C13" s="25"/>
      <c r="D13" s="27"/>
      <c r="E13" s="27"/>
      <c r="F13" s="27"/>
    </row>
    <row r="14" spans="1:6" ht="24.95" customHeight="1">
      <c r="A14" s="25" t="s">
        <v>59</v>
      </c>
      <c r="B14" s="25"/>
      <c r="C14" s="25"/>
      <c r="D14" s="27"/>
      <c r="E14" s="27"/>
      <c r="F14" s="27"/>
    </row>
    <row r="15" spans="1:6" ht="24.95" customHeight="1">
      <c r="A15" s="25"/>
      <c r="B15" s="25"/>
      <c r="C15" s="25"/>
      <c r="D15" s="27"/>
      <c r="E15" s="27"/>
      <c r="F15" s="27"/>
    </row>
    <row r="16" spans="1:6" ht="24.95" customHeight="1">
      <c r="A16" s="25" t="s">
        <v>60</v>
      </c>
      <c r="B16" s="25"/>
      <c r="C16" s="25"/>
      <c r="D16" s="27"/>
      <c r="E16" s="27"/>
      <c r="F16" s="27"/>
    </row>
    <row r="17" spans="1:6" ht="24.95" customHeight="1">
      <c r="A17" s="25"/>
      <c r="B17" s="25"/>
      <c r="C17" s="25"/>
      <c r="D17" s="27"/>
      <c r="E17" s="27"/>
      <c r="F17" s="27"/>
    </row>
    <row r="18" spans="1:6" ht="24.95" customHeight="1">
      <c r="A18" s="25" t="s">
        <v>61</v>
      </c>
      <c r="B18" s="25"/>
      <c r="C18" s="25"/>
      <c r="D18" s="27"/>
      <c r="E18" s="27"/>
      <c r="F18" s="27"/>
    </row>
    <row r="19" spans="1:6" ht="24.95" customHeight="1">
      <c r="A19" s="25"/>
      <c r="B19" s="25"/>
      <c r="C19" s="25"/>
      <c r="D19" s="27"/>
      <c r="E19" s="27"/>
      <c r="F19" s="27"/>
    </row>
    <row r="20" spans="1:6" ht="24.95" customHeight="1">
      <c r="A20" s="25" t="s">
        <v>62</v>
      </c>
      <c r="B20" s="25"/>
      <c r="C20" s="25"/>
      <c r="D20" s="27"/>
      <c r="E20" s="27"/>
      <c r="F20" s="27"/>
    </row>
    <row r="21" spans="1:6" ht="24.95" customHeight="1">
      <c r="A21" s="25"/>
      <c r="B21" s="25"/>
      <c r="C21" s="25"/>
      <c r="D21" s="27"/>
      <c r="E21" s="27"/>
      <c r="F21" s="27"/>
    </row>
    <row r="22" spans="1:6" ht="24.95" customHeight="1">
      <c r="A22" s="25" t="s">
        <v>63</v>
      </c>
      <c r="B22" s="25"/>
      <c r="C22" s="25"/>
      <c r="D22" s="27"/>
      <c r="E22" s="27"/>
      <c r="F22" s="27"/>
    </row>
    <row r="23" spans="1:6" ht="24.95" customHeight="1">
      <c r="A23" s="25"/>
      <c r="B23" s="25"/>
      <c r="C23" s="25"/>
      <c r="D23" s="27"/>
      <c r="E23" s="27"/>
      <c r="F23" s="27"/>
    </row>
    <row r="24" spans="1:6" ht="24.95" customHeight="1">
      <c r="A24" s="25" t="s">
        <v>64</v>
      </c>
      <c r="B24" s="25"/>
      <c r="C24" s="25"/>
      <c r="D24" s="28"/>
      <c r="E24" s="28"/>
      <c r="F24" s="28"/>
    </row>
    <row r="25" spans="1:6" ht="24.95" customHeight="1">
      <c r="A25" s="25"/>
      <c r="B25" s="25"/>
      <c r="C25" s="25"/>
      <c r="D25" s="28"/>
      <c r="E25" s="28"/>
      <c r="F25" s="28"/>
    </row>
    <row r="26" spans="1:6" ht="24.95" customHeight="1">
      <c r="A26" s="25" t="s">
        <v>65</v>
      </c>
      <c r="B26" s="25"/>
      <c r="C26" s="25"/>
      <c r="D26" s="28"/>
      <c r="E26" s="28"/>
      <c r="F26" s="28"/>
    </row>
    <row r="27" spans="1:6" ht="24.95" customHeight="1">
      <c r="A27" s="25"/>
      <c r="B27" s="25"/>
      <c r="C27" s="25"/>
      <c r="D27" s="28"/>
      <c r="E27" s="28"/>
      <c r="F27" s="28"/>
    </row>
    <row r="28" spans="1:6" ht="24" customHeight="1">
      <c r="A28" s="1"/>
      <c r="B28" s="1"/>
      <c r="C28" s="1"/>
      <c r="D28" s="1"/>
      <c r="E28" s="1"/>
      <c r="F28" s="1"/>
    </row>
    <row r="29" spans="1:6" ht="24" customHeight="1">
      <c r="A29" s="1"/>
      <c r="B29" s="1"/>
      <c r="C29" s="1"/>
      <c r="D29" s="1" t="str">
        <f>IF(AND(ISNUMBER(D6),ISNUMBER(D8),OR(D10="Posted",D10="Available"),ISNUMBER(D12),D12&gt;=0,ISNUMBER(D14),D14&gt;=0,ISNUMBER(D16),D16&gt;=0,ISNUMBER(D18),D18&gt;=0,ISNUMBER(D20),D20&gt;=0,D24="Yes",D26&lt;&gt;""),"OK","PENDING")</f>
        <v>PENDING</v>
      </c>
      <c r="E29" s="1"/>
      <c r="F29" s="1"/>
    </row>
    <row r="30" spans="1:6" ht="24" customHeight="1">
      <c r="A30" s="1"/>
      <c r="B30" s="1"/>
      <c r="C30" s="1"/>
      <c r="D30" s="1"/>
      <c r="E30" s="1"/>
      <c r="F30" s="1"/>
    </row>
    <row r="31" spans="1:6" ht="24" customHeight="1">
      <c r="A31" s="29" t="s">
        <v>66</v>
      </c>
      <c r="B31" s="29"/>
      <c r="C31" s="29"/>
      <c r="D31" s="29"/>
      <c r="E31" s="30" t="str">
        <f>IF(D29&lt;&gt;"OK","PENDING",D8-D12-D14-D16-D18-D20)</f>
        <v>PENDING</v>
      </c>
      <c r="F31" s="30"/>
    </row>
    <row r="32" spans="1:6" ht="24" customHeight="1">
      <c r="A32" s="29"/>
      <c r="B32" s="29"/>
      <c r="C32" s="29"/>
      <c r="D32" s="29"/>
      <c r="E32" s="30"/>
      <c r="F32" s="30"/>
    </row>
    <row r="33" spans="1:6" ht="24" customHeight="1">
      <c r="A33" s="1"/>
      <c r="B33" s="1"/>
      <c r="C33" s="1"/>
      <c r="D33" s="1"/>
      <c r="E33" s="20"/>
      <c r="F33" s="20"/>
    </row>
    <row r="34" spans="1:6" ht="24" customHeight="1">
      <c r="A34" s="29" t="s">
        <v>67</v>
      </c>
      <c r="B34" s="29"/>
      <c r="C34" s="29"/>
      <c r="D34" s="29"/>
      <c r="E34" s="30" t="str">
        <f>IF(OR(D29&lt;&gt;"OK",NOT(ISNUMBER(D22)),D22&lt;0),"PENDING",E31-D22)</f>
        <v>PENDING</v>
      </c>
      <c r="F34" s="30"/>
    </row>
    <row r="35" spans="1:6" ht="24" customHeight="1">
      <c r="A35" s="29"/>
      <c r="B35" s="29"/>
      <c r="C35" s="29"/>
      <c r="D35" s="29"/>
      <c r="E35" s="30"/>
      <c r="F35" s="30"/>
    </row>
    <row r="36" spans="1:6" ht="24" customHeight="1">
      <c r="A36" s="1"/>
      <c r="B36" s="1"/>
      <c r="C36" s="1"/>
      <c r="D36" s="1"/>
      <c r="E36" s="1"/>
      <c r="F36" s="1"/>
    </row>
    <row r="37" spans="1:6" ht="24" customHeight="1">
      <c r="A37" s="1"/>
      <c r="B37" s="1"/>
      <c r="C37" s="1"/>
      <c r="D37" s="1"/>
      <c r="E37" s="1"/>
      <c r="F37" s="1"/>
    </row>
    <row r="38" spans="1:6" ht="24" customHeight="1">
      <c r="A38" s="29" t="s">
        <v>68</v>
      </c>
      <c r="B38" s="29"/>
      <c r="C38" s="29"/>
      <c r="D38" s="29"/>
      <c r="E38" s="29"/>
      <c r="F38" s="29"/>
    </row>
    <row r="39" spans="1:6" ht="24" customHeight="1">
      <c r="A39" s="29"/>
      <c r="B39" s="29"/>
      <c r="C39" s="29"/>
      <c r="D39" s="29"/>
      <c r="E39" s="29"/>
      <c r="F39" s="29"/>
    </row>
    <row r="40" spans="1:6" ht="24" customHeight="1">
      <c r="A40" s="29"/>
      <c r="B40" s="29"/>
      <c r="C40" s="29"/>
      <c r="D40" s="29"/>
      <c r="E40" s="29"/>
      <c r="F40" s="29"/>
    </row>
    <row r="41" spans="1:6" ht="24" customHeight="1">
      <c r="A41" s="29"/>
      <c r="B41" s="29"/>
      <c r="C41" s="29"/>
      <c r="D41" s="29"/>
      <c r="E41" s="29"/>
      <c r="F41" s="29"/>
    </row>
    <row r="42" spans="1:6" ht="24" customHeight="1">
      <c r="A42" s="29"/>
      <c r="B42" s="29"/>
      <c r="C42" s="29"/>
      <c r="D42" s="29"/>
      <c r="E42" s="29"/>
      <c r="F42" s="29"/>
    </row>
    <row r="43" spans="1:6" ht="24" customHeight="1">
      <c r="A43" s="1"/>
      <c r="B43" s="1"/>
      <c r="C43" s="1"/>
      <c r="D43" s="1"/>
      <c r="E43" s="1"/>
      <c r="F43" s="1"/>
    </row>
    <row r="44" spans="1:6" ht="24" customHeight="1">
      <c r="A44" s="1"/>
      <c r="B44" s="1"/>
      <c r="C44" s="1"/>
      <c r="D44" s="1"/>
      <c r="E44" s="1"/>
      <c r="F44" s="1"/>
    </row>
    <row r="45" spans="1:6" ht="24" customHeight="1">
      <c r="A45" s="1"/>
      <c r="B45" s="1"/>
      <c r="C45" s="1"/>
      <c r="D45" s="1"/>
      <c r="E45" s="1"/>
      <c r="F45" s="1"/>
    </row>
    <row r="46" spans="1:6" ht="24" customHeight="1">
      <c r="A46" s="1"/>
      <c r="B46" s="1"/>
      <c r="C46" s="1"/>
      <c r="D46" s="1"/>
      <c r="E46" s="1"/>
      <c r="F46" s="1"/>
    </row>
    <row r="47" spans="1:6" ht="24" customHeight="1">
      <c r="A47" s="1"/>
      <c r="B47" s="1"/>
      <c r="C47" s="1"/>
      <c r="D47" s="1"/>
      <c r="E47" s="1"/>
      <c r="F47" s="1"/>
    </row>
    <row r="48" spans="1:6" ht="24" customHeight="1">
      <c r="A48" s="1"/>
      <c r="B48" s="1"/>
      <c r="C48" s="1"/>
      <c r="D48" s="1"/>
      <c r="E48" s="1"/>
      <c r="F48" s="1"/>
    </row>
  </sheetData>
  <mergeCells count="29">
    <mergeCell ref="A31:D32"/>
    <mergeCell ref="E31:F32"/>
    <mergeCell ref="A34:D35"/>
    <mergeCell ref="E34:F35"/>
    <mergeCell ref="A38:F42"/>
    <mergeCell ref="A22:C23"/>
    <mergeCell ref="D22:F23"/>
    <mergeCell ref="A24:C25"/>
    <mergeCell ref="D24:F25"/>
    <mergeCell ref="A26:C27"/>
    <mergeCell ref="D26:F27"/>
    <mergeCell ref="A16:C17"/>
    <mergeCell ref="D16:F17"/>
    <mergeCell ref="A18:C19"/>
    <mergeCell ref="D18:F19"/>
    <mergeCell ref="A20:C21"/>
    <mergeCell ref="D20:F21"/>
    <mergeCell ref="A10:C11"/>
    <mergeCell ref="D10:F11"/>
    <mergeCell ref="A12:C13"/>
    <mergeCell ref="D12:F13"/>
    <mergeCell ref="A14:C15"/>
    <mergeCell ref="D14:F15"/>
    <mergeCell ref="A1:F2"/>
    <mergeCell ref="A3:F4"/>
    <mergeCell ref="A6:C7"/>
    <mergeCell ref="D6:F7"/>
    <mergeCell ref="A8:C9"/>
    <mergeCell ref="D8:F9"/>
  </mergeCells>
  <dataValidations count="2">
    <dataValidation type="list" sqref="D10" xr:uid="{00000000-0002-0000-0400-000000000000}">
      <formula1>"Posted,Available"</formula1>
    </dataValidation>
    <dataValidation type="list" sqref="D24" xr:uid="{00000000-0002-0000-0400-000001000000}">
      <formula1>"Yes,No"</formula1>
    </dataValidation>
  </dataValidation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7"/>
  <sheetViews>
    <sheetView showGridLines="0" workbookViewId="0"/>
  </sheetViews>
  <sheetFormatPr defaultRowHeight="14.25"/>
  <cols>
    <col min="1" max="1" width="25" customWidth="1"/>
    <col min="2" max="2" width="23" customWidth="1"/>
    <col min="3" max="4" width="21" customWidth="1"/>
    <col min="5" max="5" width="24" customWidth="1"/>
    <col min="6" max="6" width="23" customWidth="1"/>
  </cols>
  <sheetData>
    <row r="1" spans="1:6" ht="26.1" customHeight="1">
      <c r="A1" s="21" t="s">
        <v>69</v>
      </c>
      <c r="B1" s="21"/>
      <c r="C1" s="21"/>
      <c r="D1" s="21"/>
      <c r="E1" s="21"/>
      <c r="F1" s="21"/>
    </row>
    <row r="2" spans="1:6" ht="26.1" customHeight="1">
      <c r="A2" s="21"/>
      <c r="B2" s="21"/>
      <c r="C2" s="21"/>
      <c r="D2" s="21"/>
      <c r="E2" s="21"/>
      <c r="F2" s="21"/>
    </row>
    <row r="3" spans="1:6" ht="24" customHeight="1">
      <c r="A3" s="22" t="s">
        <v>70</v>
      </c>
      <c r="B3" s="22"/>
      <c r="C3" s="22"/>
      <c r="D3" s="22"/>
      <c r="E3" s="22"/>
      <c r="F3" s="22"/>
    </row>
    <row r="4" spans="1:6" ht="24" customHeight="1">
      <c r="A4" s="22"/>
      <c r="B4" s="22"/>
      <c r="C4" s="22"/>
      <c r="D4" s="22"/>
      <c r="E4" s="22"/>
      <c r="F4" s="22"/>
    </row>
    <row r="5" spans="1:6" ht="24" customHeight="1">
      <c r="A5" s="1"/>
      <c r="B5" s="1"/>
      <c r="C5" s="1"/>
      <c r="D5" s="1"/>
      <c r="E5" s="1"/>
      <c r="F5" s="1"/>
    </row>
    <row r="6" spans="1:6" ht="24" customHeight="1">
      <c r="A6" s="29" t="s">
        <v>71</v>
      </c>
      <c r="B6" s="29"/>
      <c r="C6" s="29"/>
      <c r="D6" s="29"/>
      <c r="E6" s="31" t="str">
        <f>IF(OR(Setup!D30&lt;&gt;"OK",COUNTIF(Events!I8:I79,"CHECK")&gt;0,COUNTIF(Events!I8:I79,"OK")=0),"PENDING",IF(COUNTIF(Events!I8:I79,"DELAYED")&gt;0,"DELAY EXCLUDED","PROJECTED"))</f>
        <v>PENDING</v>
      </c>
      <c r="F6" s="31"/>
    </row>
    <row r="7" spans="1:6" ht="24" customHeight="1">
      <c r="A7" s="29"/>
      <c r="B7" s="29"/>
      <c r="C7" s="29"/>
      <c r="D7" s="29"/>
      <c r="E7" s="31"/>
      <c r="F7" s="31"/>
    </row>
    <row r="8" spans="1:6" ht="24" customHeight="1">
      <c r="A8" s="1"/>
      <c r="B8" s="1"/>
      <c r="C8" s="1"/>
      <c r="D8" s="1"/>
      <c r="E8" s="1"/>
      <c r="F8" s="1"/>
    </row>
    <row r="9" spans="1:6" ht="24" customHeight="1">
      <c r="A9" s="29" t="s">
        <v>72</v>
      </c>
      <c r="B9" s="29"/>
      <c r="C9" s="29"/>
      <c r="D9" s="29"/>
      <c r="E9" s="30" t="str">
        <f>IF(E6="PENDING","PENDING",MIN(Setup!D10,MIN(Calendar!E8:E69)))</f>
        <v>PENDING</v>
      </c>
      <c r="F9" s="32"/>
    </row>
    <row r="10" spans="1:6" ht="24" customHeight="1">
      <c r="A10" s="29"/>
      <c r="B10" s="29"/>
      <c r="C10" s="29"/>
      <c r="D10" s="29"/>
      <c r="E10" s="30"/>
      <c r="F10" s="32"/>
    </row>
    <row r="11" spans="1:6" ht="24" customHeight="1">
      <c r="A11" s="1"/>
      <c r="B11" s="1"/>
      <c r="C11" s="1"/>
      <c r="D11" s="1"/>
      <c r="E11" s="20"/>
      <c r="F11" s="1"/>
    </row>
    <row r="12" spans="1:6" ht="24" customHeight="1">
      <c r="A12" s="29" t="s">
        <v>73</v>
      </c>
      <c r="B12" s="29"/>
      <c r="C12" s="29"/>
      <c r="D12" s="29"/>
      <c r="E12" s="30" t="str">
        <f>IF(E6="PENDING","PENDING",MAX(0,Setup!D12-E9))</f>
        <v>PENDING</v>
      </c>
      <c r="F12" s="32"/>
    </row>
    <row r="13" spans="1:6" ht="24" customHeight="1">
      <c r="A13" s="29"/>
      <c r="B13" s="29"/>
      <c r="C13" s="29"/>
      <c r="D13" s="29"/>
      <c r="E13" s="30"/>
      <c r="F13" s="32"/>
    </row>
    <row r="14" spans="1:6" ht="24" customHeight="1">
      <c r="A14" s="1"/>
      <c r="B14" s="1"/>
      <c r="C14" s="1"/>
      <c r="D14" s="1"/>
      <c r="E14" s="20"/>
      <c r="F14" s="1"/>
    </row>
    <row r="15" spans="1:6" ht="24" customHeight="1">
      <c r="A15" s="29" t="s">
        <v>74</v>
      </c>
      <c r="B15" s="29"/>
      <c r="C15" s="29"/>
      <c r="D15" s="29"/>
      <c r="E15" s="30" t="str">
        <f>IF(E6="PENDING","PENDING",Setup!D10+SUMIFS(Events!E8:E79,Events!D8:D79,"In",Events!I8:I79,"OK")-SUMIFS(Events!E8:E79,Events!D8:D79,"Out",Events!I8:I79,"OK"))</f>
        <v>PENDING</v>
      </c>
      <c r="F15" s="32"/>
    </row>
    <row r="16" spans="1:6" ht="24" customHeight="1">
      <c r="A16" s="29"/>
      <c r="B16" s="29"/>
      <c r="C16" s="29"/>
      <c r="D16" s="29"/>
      <c r="E16" s="30"/>
      <c r="F16" s="32"/>
    </row>
    <row r="17" spans="1:6" ht="24" customHeight="1">
      <c r="A17" s="1"/>
      <c r="B17" s="1"/>
      <c r="C17" s="1"/>
      <c r="D17" s="1"/>
      <c r="E17" s="1"/>
      <c r="F17" s="1"/>
    </row>
    <row r="18" spans="1:6" ht="24" customHeight="1">
      <c r="A18" s="29" t="s">
        <v>75</v>
      </c>
      <c r="B18" s="29"/>
      <c r="C18" s="29"/>
      <c r="D18" s="29"/>
      <c r="E18" s="33" t="str">
        <f>IF(E6="PENDING","PENDING",COUNTIF(Calendar!G8:G69,"VERIFY SAME-DAY ORDER"))</f>
        <v>PENDING</v>
      </c>
      <c r="F18" s="33"/>
    </row>
    <row r="19" spans="1:6" ht="24" customHeight="1">
      <c r="A19" s="29"/>
      <c r="B19" s="29"/>
      <c r="C19" s="29"/>
      <c r="D19" s="29"/>
      <c r="E19" s="33"/>
      <c r="F19" s="33"/>
    </row>
    <row r="20" spans="1:6" ht="24" customHeight="1">
      <c r="A20" s="1"/>
      <c r="B20" s="1"/>
      <c r="C20" s="1"/>
      <c r="D20" s="1"/>
      <c r="E20" s="1"/>
      <c r="F20" s="1"/>
    </row>
    <row r="21" spans="1:6" ht="24" customHeight="1">
      <c r="A21" s="1"/>
      <c r="B21" s="1"/>
      <c r="C21" s="1"/>
      <c r="D21" s="1"/>
      <c r="E21" s="1"/>
      <c r="F21" s="1"/>
    </row>
    <row r="22" spans="1:6" ht="24" customHeight="1">
      <c r="A22" s="29" t="s">
        <v>76</v>
      </c>
      <c r="B22" s="29"/>
      <c r="C22" s="29"/>
      <c r="D22" s="29"/>
      <c r="E22" s="29"/>
      <c r="F22" s="29"/>
    </row>
    <row r="23" spans="1:6" ht="24" customHeight="1">
      <c r="A23" s="29"/>
      <c r="B23" s="29"/>
      <c r="C23" s="29"/>
      <c r="D23" s="29"/>
      <c r="E23" s="29"/>
      <c r="F23" s="29"/>
    </row>
    <row r="24" spans="1:6" ht="24" customHeight="1">
      <c r="A24" s="29"/>
      <c r="B24" s="29"/>
      <c r="C24" s="29"/>
      <c r="D24" s="29"/>
      <c r="E24" s="29"/>
      <c r="F24" s="29"/>
    </row>
    <row r="25" spans="1:6" ht="24" customHeight="1">
      <c r="A25" s="29"/>
      <c r="B25" s="29"/>
      <c r="C25" s="29"/>
      <c r="D25" s="29"/>
      <c r="E25" s="29"/>
      <c r="F25" s="29"/>
    </row>
    <row r="26" spans="1:6" ht="24" customHeight="1">
      <c r="A26" s="29"/>
      <c r="B26" s="29"/>
      <c r="C26" s="29"/>
      <c r="D26" s="29"/>
      <c r="E26" s="29"/>
      <c r="F26" s="29"/>
    </row>
    <row r="27" spans="1:6" ht="24" customHeight="1">
      <c r="A27" s="1"/>
      <c r="B27" s="1"/>
      <c r="C27" s="1"/>
      <c r="D27" s="1"/>
      <c r="E27" s="1"/>
      <c r="F27" s="1"/>
    </row>
    <row r="28" spans="1:6" ht="24" customHeight="1">
      <c r="A28" s="34" t="s">
        <v>77</v>
      </c>
      <c r="B28" s="34"/>
      <c r="C28" s="34"/>
      <c r="D28" s="34"/>
      <c r="E28" s="34"/>
      <c r="F28" s="34"/>
    </row>
    <row r="29" spans="1:6" ht="24" customHeight="1">
      <c r="A29" s="34"/>
      <c r="B29" s="34"/>
      <c r="C29" s="34"/>
      <c r="D29" s="34"/>
      <c r="E29" s="34"/>
      <c r="F29" s="34"/>
    </row>
    <row r="30" spans="1:6" ht="24" customHeight="1">
      <c r="A30" s="34"/>
      <c r="B30" s="34"/>
      <c r="C30" s="34"/>
      <c r="D30" s="34"/>
      <c r="E30" s="34"/>
      <c r="F30" s="34"/>
    </row>
    <row r="31" spans="1:6" ht="24" customHeight="1">
      <c r="A31" s="34"/>
      <c r="B31" s="34"/>
      <c r="C31" s="34"/>
      <c r="D31" s="34"/>
      <c r="E31" s="34"/>
      <c r="F31" s="34"/>
    </row>
    <row r="32" spans="1:6" ht="24" customHeight="1">
      <c r="A32" s="1"/>
      <c r="B32" s="1"/>
      <c r="C32" s="1"/>
      <c r="D32" s="1"/>
      <c r="E32" s="1"/>
      <c r="F32" s="1"/>
    </row>
    <row r="33" spans="1:6" ht="24" customHeight="1">
      <c r="A33" s="1"/>
      <c r="B33" s="1"/>
      <c r="C33" s="1"/>
      <c r="D33" s="1"/>
      <c r="E33" s="1"/>
      <c r="F33" s="1"/>
    </row>
    <row r="34" spans="1:6" ht="24" customHeight="1">
      <c r="A34" s="29" t="s">
        <v>78</v>
      </c>
      <c r="B34" s="29"/>
      <c r="C34" s="29"/>
      <c r="D34" s="29"/>
      <c r="E34" s="35" t="str">
        <f>IF(E6="PENDING","PENDING",IF(E9=Setup!D10,Setup!D6,INDEX(Calendar!A8:A69,MATCH(E9,Calendar!E8:E69,0))))</f>
        <v>PENDING</v>
      </c>
      <c r="F34" s="35"/>
    </row>
    <row r="35" spans="1:6" ht="24" customHeight="1">
      <c r="A35" s="29"/>
      <c r="B35" s="29"/>
      <c r="C35" s="29"/>
      <c r="D35" s="29"/>
      <c r="E35" s="35"/>
      <c r="F35" s="35"/>
    </row>
    <row r="36" spans="1:6" ht="24" customHeight="1">
      <c r="A36" s="1"/>
      <c r="B36" s="1"/>
      <c r="C36" s="1"/>
      <c r="D36" s="1"/>
      <c r="E36" s="1"/>
      <c r="F36" s="1"/>
    </row>
    <row r="37" spans="1:6" ht="24" customHeight="1">
      <c r="A37" s="1"/>
      <c r="B37" s="1"/>
      <c r="C37" s="1"/>
      <c r="D37" s="1"/>
      <c r="E37" s="1"/>
      <c r="F37" s="1"/>
    </row>
    <row r="38" spans="1:6" ht="24.95" customHeight="1">
      <c r="A38" s="29" t="s">
        <v>79</v>
      </c>
      <c r="B38" s="29"/>
      <c r="C38" s="29"/>
      <c r="D38" s="29"/>
      <c r="E38" s="29"/>
      <c r="F38" s="29"/>
    </row>
    <row r="39" spans="1:6" ht="24.95" customHeight="1">
      <c r="A39" s="29"/>
      <c r="B39" s="29"/>
      <c r="C39" s="29"/>
      <c r="D39" s="29"/>
      <c r="E39" s="29"/>
      <c r="F39" s="29"/>
    </row>
    <row r="40" spans="1:6" ht="24.95" customHeight="1">
      <c r="A40" s="29"/>
      <c r="B40" s="29"/>
      <c r="C40" s="29"/>
      <c r="D40" s="29"/>
      <c r="E40" s="29"/>
      <c r="F40" s="29"/>
    </row>
    <row r="41" spans="1:6" ht="24.95" customHeight="1">
      <c r="A41" s="29"/>
      <c r="B41" s="29"/>
      <c r="C41" s="29"/>
      <c r="D41" s="29"/>
      <c r="E41" s="29"/>
      <c r="F41" s="29"/>
    </row>
    <row r="42" spans="1:6" ht="24" customHeight="1">
      <c r="A42" s="1"/>
      <c r="B42" s="1"/>
      <c r="C42" s="1"/>
      <c r="D42" s="1"/>
      <c r="E42" s="1"/>
      <c r="F42" s="1"/>
    </row>
    <row r="43" spans="1:6" ht="24" customHeight="1">
      <c r="A43" s="1"/>
      <c r="B43" s="1"/>
      <c r="C43" s="1"/>
      <c r="D43" s="1"/>
      <c r="E43" s="1"/>
      <c r="F43" s="1"/>
    </row>
    <row r="44" spans="1:6" ht="24" customHeight="1">
      <c r="A44" s="1"/>
      <c r="B44" s="1"/>
      <c r="C44" s="1"/>
      <c r="D44" s="1"/>
      <c r="E44" s="1"/>
      <c r="F44" s="1"/>
    </row>
    <row r="45" spans="1:6" ht="24" customHeight="1">
      <c r="A45" s="1"/>
      <c r="B45" s="1"/>
      <c r="C45" s="1"/>
      <c r="D45" s="1"/>
      <c r="E45" s="1"/>
      <c r="F45" s="1"/>
    </row>
    <row r="46" spans="1:6" ht="24" customHeight="1">
      <c r="A46" s="1"/>
      <c r="B46" s="1"/>
      <c r="C46" s="1"/>
      <c r="D46" s="1"/>
      <c r="E46" s="1"/>
      <c r="F46" s="1"/>
    </row>
    <row r="47" spans="1:6" ht="24" customHeight="1">
      <c r="A47" s="1"/>
      <c r="B47" s="1"/>
      <c r="C47" s="1"/>
      <c r="D47" s="1"/>
      <c r="E47" s="1"/>
      <c r="F47" s="1"/>
    </row>
  </sheetData>
  <mergeCells count="17">
    <mergeCell ref="A22:F26"/>
    <mergeCell ref="A28:F31"/>
    <mergeCell ref="A34:D35"/>
    <mergeCell ref="E34:F35"/>
    <mergeCell ref="A38:F41"/>
    <mergeCell ref="A12:D13"/>
    <mergeCell ref="E12:F13"/>
    <mergeCell ref="A15:D16"/>
    <mergeCell ref="E15:F16"/>
    <mergeCell ref="A18:D19"/>
    <mergeCell ref="E18:F19"/>
    <mergeCell ref="A1:F2"/>
    <mergeCell ref="A3:F4"/>
    <mergeCell ref="A6:D7"/>
    <mergeCell ref="E6:F7"/>
    <mergeCell ref="A9:D10"/>
    <mergeCell ref="E9: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Setup</vt:lpstr>
      <vt:lpstr>Events</vt:lpstr>
      <vt:lpstr>Calendar</vt:lpstr>
      <vt:lpstr>Cash now</vt:lpstr>
      <vt:lpstr>Decision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modified xsi:type="dcterms:W3CDTF">2026-10-06T02:21:21Z</dcterms:modified>
</cp:coreProperties>
</file>