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BusinessOps\InteractiveContentStudio\projects\retirement-catchup-40-55\revision-01\tools\"/>
    </mc:Choice>
  </mc:AlternateContent>
  <xr:revisionPtr revIDLastSave="0" documentId="13_ncr:1_{2EA2CE3E-73FA-44FD-A1DC-8359E36F6AD5}" xr6:coauthVersionLast="47" xr6:coauthVersionMax="47" xr10:uidLastSave="{00000000-0000-0000-0000-000000000000}"/>
  <bookViews>
    <workbookView xWindow="780" yWindow="780" windowWidth="21600" windowHeight="11385" xr2:uid="{00000000-000D-0000-FFFF-FFFF00000000}"/>
  </bookViews>
  <sheets>
    <sheet name="Overview" sheetId="6" r:id="rId1"/>
    <sheet name="Sources" sheetId="7" r:id="rId2"/>
    <sheet name="Guide" sheetId="1" r:id="rId3"/>
    <sheet name="Inputs" sheetId="2" r:id="rId4"/>
    <sheet name="Results" sheetId="3" r:id="rId5"/>
    <sheet name="Payroll" sheetId="4" r:id="rId6"/>
    <sheet name="IRA" sheetId="5" r:id="rId7"/>
  </sheets>
  <definedNames>
    <definedName name="_xlnm.Print_Area" localSheetId="2">Guide!$A$1:$D$17</definedName>
    <definedName name="_xlnm.Print_Area" localSheetId="3">Inputs!$A$1:$C$29</definedName>
    <definedName name="_xlnm.Print_Area" localSheetId="6">IRA!$A$1:$C$16</definedName>
    <definedName name="_xlnm.Print_Area" localSheetId="0">Overview!$A$1:$B$21</definedName>
    <definedName name="_xlnm.Print_Area" localSheetId="5">Payroll!$A$1:$L$18</definedName>
    <definedName name="_xlnm.Print_Area" localSheetId="4">Results!$A$1:$C$26</definedName>
  </definedNames>
  <calcPr calcId="191029" forceFullCalc="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20" i="3" l="1"/>
  <c r="B19" i="3"/>
  <c r="B18" i="3"/>
  <c r="B17" i="3"/>
  <c r="B13" i="3"/>
  <c r="B7" i="6" s="1"/>
  <c r="B37" i="2"/>
  <c r="D6" i="5" s="1"/>
  <c r="B6" i="5" s="1"/>
  <c r="B36" i="2"/>
  <c r="B5" i="4" s="1"/>
  <c r="B11" i="6" l="1"/>
  <c r="D16" i="5"/>
  <c r="G16" i="5" s="1"/>
  <c r="D15" i="5"/>
  <c r="G15" i="5" s="1"/>
  <c r="D14" i="5"/>
  <c r="G14" i="5" s="1"/>
  <c r="D13" i="5"/>
  <c r="G13" i="5" s="1"/>
  <c r="D12" i="5"/>
  <c r="G12" i="5" s="1"/>
  <c r="D11" i="5"/>
  <c r="G11" i="5" s="1"/>
  <c r="D10" i="5"/>
  <c r="G10" i="5" s="1"/>
  <c r="D8" i="5"/>
  <c r="B8" i="5" s="1"/>
  <c r="D9" i="5"/>
  <c r="D7" i="5"/>
  <c r="G7" i="5" s="1"/>
  <c r="G6" i="5"/>
  <c r="D5" i="5"/>
  <c r="B5" i="5" s="1"/>
  <c r="B23" i="3"/>
  <c r="N56" i="4"/>
  <c r="K56" i="4"/>
  <c r="M56" i="4" s="1"/>
  <c r="L56" i="4"/>
  <c r="I56" i="4"/>
  <c r="H56" i="4"/>
  <c r="G56" i="4"/>
  <c r="F56" i="4"/>
  <c r="E56" i="4"/>
  <c r="D56" i="4"/>
  <c r="C56" i="4"/>
  <c r="B56" i="4"/>
  <c r="N55" i="4"/>
  <c r="K55" i="4"/>
  <c r="M55" i="4" s="1"/>
  <c r="L55" i="4"/>
  <c r="I55" i="4"/>
  <c r="H55" i="4"/>
  <c r="G55" i="4"/>
  <c r="F55" i="4"/>
  <c r="E55" i="4"/>
  <c r="D55" i="4"/>
  <c r="C55" i="4"/>
  <c r="B55" i="4"/>
  <c r="N54" i="4"/>
  <c r="K54" i="4"/>
  <c r="M54" i="4" s="1"/>
  <c r="L54" i="4"/>
  <c r="I54" i="4"/>
  <c r="H54" i="4"/>
  <c r="G54" i="4"/>
  <c r="F54" i="4"/>
  <c r="E54" i="4"/>
  <c r="D54" i="4"/>
  <c r="C54" i="4"/>
  <c r="B54" i="4"/>
  <c r="N53" i="4"/>
  <c r="L53" i="4"/>
  <c r="K53" i="4"/>
  <c r="M53" i="4" s="1"/>
  <c r="I53" i="4"/>
  <c r="G53" i="4"/>
  <c r="H53" i="4"/>
  <c r="F53" i="4"/>
  <c r="E53" i="4"/>
  <c r="D53" i="4"/>
  <c r="C53" i="4"/>
  <c r="B53" i="4"/>
  <c r="N52" i="4"/>
  <c r="K52" i="4"/>
  <c r="M52" i="4" s="1"/>
  <c r="L52" i="4"/>
  <c r="I52" i="4"/>
  <c r="H52" i="4"/>
  <c r="G52" i="4"/>
  <c r="F52" i="4"/>
  <c r="D52" i="4"/>
  <c r="E52" i="4"/>
  <c r="C52" i="4"/>
  <c r="B52" i="4"/>
  <c r="N51" i="4"/>
  <c r="K51" i="4"/>
  <c r="M51" i="4" s="1"/>
  <c r="L51" i="4"/>
  <c r="I51" i="4"/>
  <c r="H51" i="4"/>
  <c r="G51" i="4"/>
  <c r="F51" i="4"/>
  <c r="E51" i="4"/>
  <c r="D51" i="4"/>
  <c r="C51" i="4"/>
  <c r="B51" i="4"/>
  <c r="N50" i="4"/>
  <c r="K50" i="4"/>
  <c r="M50" i="4" s="1"/>
  <c r="L50" i="4"/>
  <c r="I50" i="4"/>
  <c r="H50" i="4"/>
  <c r="G50" i="4"/>
  <c r="F50" i="4"/>
  <c r="E50" i="4"/>
  <c r="C50" i="4"/>
  <c r="D50" i="4"/>
  <c r="B50" i="4"/>
  <c r="N49" i="4"/>
  <c r="K49" i="4"/>
  <c r="M49" i="4" s="1"/>
  <c r="L49" i="4"/>
  <c r="I49" i="4"/>
  <c r="H49" i="4"/>
  <c r="G49" i="4"/>
  <c r="F49" i="4"/>
  <c r="E49" i="4"/>
  <c r="D49" i="4"/>
  <c r="C49" i="4"/>
  <c r="B49" i="4"/>
  <c r="N48" i="4"/>
  <c r="K48" i="4"/>
  <c r="M48" i="4" s="1"/>
  <c r="L48" i="4"/>
  <c r="I48" i="4"/>
  <c r="H48" i="4"/>
  <c r="G48" i="4"/>
  <c r="F48" i="4"/>
  <c r="D48" i="4"/>
  <c r="E48" i="4"/>
  <c r="C48" i="4"/>
  <c r="B48" i="4"/>
  <c r="N47" i="4"/>
  <c r="K47" i="4"/>
  <c r="M47" i="4" s="1"/>
  <c r="L47" i="4"/>
  <c r="I47" i="4"/>
  <c r="H47" i="4"/>
  <c r="G47" i="4"/>
  <c r="F47" i="4"/>
  <c r="E47" i="4"/>
  <c r="D47" i="4"/>
  <c r="C47" i="4"/>
  <c r="B47" i="4"/>
  <c r="N46" i="4"/>
  <c r="K46" i="4"/>
  <c r="M46" i="4" s="1"/>
  <c r="L46" i="4"/>
  <c r="I46" i="4"/>
  <c r="H46" i="4"/>
  <c r="G46" i="4"/>
  <c r="F46" i="4"/>
  <c r="E46" i="4"/>
  <c r="D46" i="4"/>
  <c r="C46" i="4"/>
  <c r="B46" i="4"/>
  <c r="N45" i="4"/>
  <c r="K45" i="4"/>
  <c r="M45" i="4" s="1"/>
  <c r="L45" i="4"/>
  <c r="H45" i="4"/>
  <c r="I45" i="4"/>
  <c r="G45" i="4"/>
  <c r="F45" i="4"/>
  <c r="E45" i="4"/>
  <c r="D45" i="4"/>
  <c r="C45" i="4"/>
  <c r="B45" i="4"/>
  <c r="N44" i="4"/>
  <c r="K44" i="4"/>
  <c r="M44" i="4" s="1"/>
  <c r="L44" i="4"/>
  <c r="I44" i="4"/>
  <c r="H44" i="4"/>
  <c r="G44" i="4"/>
  <c r="F44" i="4"/>
  <c r="E44" i="4"/>
  <c r="D44" i="4"/>
  <c r="C44" i="4"/>
  <c r="B44" i="4"/>
  <c r="N43" i="4"/>
  <c r="K43" i="4"/>
  <c r="M43" i="4" s="1"/>
  <c r="L43" i="4"/>
  <c r="I43" i="4"/>
  <c r="H43" i="4"/>
  <c r="G43" i="4"/>
  <c r="F43" i="4"/>
  <c r="E43" i="4"/>
  <c r="B43" i="4"/>
  <c r="C43" i="4"/>
  <c r="D43" i="4"/>
  <c r="N42" i="4"/>
  <c r="K42" i="4"/>
  <c r="M42" i="4" s="1"/>
  <c r="L42" i="4"/>
  <c r="I42" i="4"/>
  <c r="H42" i="4"/>
  <c r="G42" i="4"/>
  <c r="F42" i="4"/>
  <c r="E42" i="4"/>
  <c r="D42" i="4"/>
  <c r="C42" i="4"/>
  <c r="B42" i="4"/>
  <c r="N41" i="4"/>
  <c r="K41" i="4"/>
  <c r="M41" i="4" s="1"/>
  <c r="L41" i="4"/>
  <c r="I41" i="4"/>
  <c r="H41" i="4"/>
  <c r="G41" i="4"/>
  <c r="F41" i="4"/>
  <c r="E41" i="4"/>
  <c r="D41" i="4"/>
  <c r="B41" i="4"/>
  <c r="C41" i="4"/>
  <c r="N40" i="4"/>
  <c r="K40" i="4"/>
  <c r="M40" i="4" s="1"/>
  <c r="L40" i="4"/>
  <c r="I40" i="4"/>
  <c r="H40" i="4"/>
  <c r="G40" i="4"/>
  <c r="F40" i="4"/>
  <c r="E40" i="4"/>
  <c r="D40" i="4"/>
  <c r="C40" i="4"/>
  <c r="B40" i="4"/>
  <c r="N39" i="4"/>
  <c r="K39" i="4"/>
  <c r="M39" i="4" s="1"/>
  <c r="L39" i="4"/>
  <c r="I39" i="4"/>
  <c r="F39" i="4"/>
  <c r="H39" i="4"/>
  <c r="G39" i="4"/>
  <c r="E39" i="4"/>
  <c r="D39" i="4"/>
  <c r="C39" i="4"/>
  <c r="B39" i="4"/>
  <c r="N38" i="4"/>
  <c r="K38" i="4"/>
  <c r="M38" i="4" s="1"/>
  <c r="H38" i="4"/>
  <c r="L38" i="4"/>
  <c r="I38" i="4"/>
  <c r="G38" i="4"/>
  <c r="F38" i="4"/>
  <c r="E38" i="4"/>
  <c r="D38" i="4"/>
  <c r="C38" i="4"/>
  <c r="B38" i="4"/>
  <c r="N37" i="4"/>
  <c r="K37" i="4"/>
  <c r="M37" i="4" s="1"/>
  <c r="L37" i="4"/>
  <c r="I37" i="4"/>
  <c r="H37" i="4"/>
  <c r="G37" i="4"/>
  <c r="F37" i="4"/>
  <c r="E37" i="4"/>
  <c r="D37" i="4"/>
  <c r="C37" i="4"/>
  <c r="B37" i="4"/>
  <c r="N36" i="4"/>
  <c r="K36" i="4"/>
  <c r="M36" i="4" s="1"/>
  <c r="L36" i="4"/>
  <c r="I36" i="4"/>
  <c r="H36" i="4"/>
  <c r="G36" i="4"/>
  <c r="F36" i="4"/>
  <c r="E36" i="4"/>
  <c r="D36" i="4"/>
  <c r="C36" i="4"/>
  <c r="B36" i="4"/>
  <c r="N35" i="4"/>
  <c r="K35" i="4"/>
  <c r="M35" i="4" s="1"/>
  <c r="L35" i="4"/>
  <c r="I35" i="4"/>
  <c r="H35" i="4"/>
  <c r="G35" i="4"/>
  <c r="F35" i="4"/>
  <c r="E35" i="4"/>
  <c r="D35" i="4"/>
  <c r="C35" i="4"/>
  <c r="B35" i="4"/>
  <c r="N34" i="4"/>
  <c r="K34" i="4"/>
  <c r="M34" i="4" s="1"/>
  <c r="L34" i="4"/>
  <c r="I34" i="4"/>
  <c r="H34" i="4"/>
  <c r="G34" i="4"/>
  <c r="F34" i="4"/>
  <c r="D34" i="4"/>
  <c r="E34" i="4"/>
  <c r="C34" i="4"/>
  <c r="B34" i="4"/>
  <c r="N33" i="4"/>
  <c r="L33" i="4"/>
  <c r="K33" i="4"/>
  <c r="M33" i="4" s="1"/>
  <c r="I33" i="4"/>
  <c r="H33" i="4"/>
  <c r="G33" i="4"/>
  <c r="F33" i="4"/>
  <c r="E33" i="4"/>
  <c r="D33" i="4"/>
  <c r="C33" i="4"/>
  <c r="B33" i="4"/>
  <c r="N32" i="4"/>
  <c r="K32" i="4"/>
  <c r="M32" i="4" s="1"/>
  <c r="L32" i="4"/>
  <c r="I32" i="4"/>
  <c r="H32" i="4"/>
  <c r="G32" i="4"/>
  <c r="F32" i="4"/>
  <c r="E32" i="4"/>
  <c r="D32" i="4"/>
  <c r="C32" i="4"/>
  <c r="B32" i="4"/>
  <c r="N31" i="4"/>
  <c r="K31" i="4"/>
  <c r="M31" i="4" s="1"/>
  <c r="L31" i="4"/>
  <c r="I31" i="4"/>
  <c r="H31" i="4"/>
  <c r="G31" i="4"/>
  <c r="F31" i="4"/>
  <c r="E31" i="4"/>
  <c r="D31" i="4"/>
  <c r="C31" i="4"/>
  <c r="B31" i="4"/>
  <c r="D30" i="4"/>
  <c r="C30" i="4"/>
  <c r="B30" i="4"/>
  <c r="K30" i="4" s="1"/>
  <c r="M30" i="4" s="1"/>
  <c r="D29" i="4"/>
  <c r="C29" i="4"/>
  <c r="B29" i="4"/>
  <c r="K29" i="4" s="1"/>
  <c r="M29" i="4" s="1"/>
  <c r="D28" i="4"/>
  <c r="C28" i="4"/>
  <c r="B28" i="4"/>
  <c r="K28" i="4" s="1"/>
  <c r="M28" i="4" s="1"/>
  <c r="D27" i="4"/>
  <c r="C27" i="4"/>
  <c r="B27" i="4"/>
  <c r="K27" i="4" s="1"/>
  <c r="M27" i="4" s="1"/>
  <c r="D26" i="4"/>
  <c r="C26" i="4"/>
  <c r="B26" i="4"/>
  <c r="K26" i="4" s="1"/>
  <c r="M26" i="4" s="1"/>
  <c r="D25" i="4"/>
  <c r="C25" i="4"/>
  <c r="B25" i="4"/>
  <c r="K25" i="4" s="1"/>
  <c r="M25" i="4" s="1"/>
  <c r="D24" i="4"/>
  <c r="C24" i="4"/>
  <c r="B24" i="4"/>
  <c r="K24" i="4" s="1"/>
  <c r="M24" i="4" s="1"/>
  <c r="D23" i="4"/>
  <c r="C23" i="4"/>
  <c r="B23" i="4"/>
  <c r="K23" i="4" s="1"/>
  <c r="M23" i="4" s="1"/>
  <c r="D22" i="4"/>
  <c r="C22" i="4"/>
  <c r="B22" i="4"/>
  <c r="K22" i="4" s="1"/>
  <c r="M22" i="4" s="1"/>
  <c r="D21" i="4"/>
  <c r="C21" i="4"/>
  <c r="B21" i="4"/>
  <c r="K21" i="4" s="1"/>
  <c r="M21" i="4" s="1"/>
  <c r="D20" i="4"/>
  <c r="C20" i="4"/>
  <c r="B20" i="4"/>
  <c r="K20" i="4" s="1"/>
  <c r="M20" i="4" s="1"/>
  <c r="D19" i="4"/>
  <c r="C19" i="4"/>
  <c r="B19" i="4"/>
  <c r="K19" i="4" s="1"/>
  <c r="M19" i="4" s="1"/>
  <c r="D18" i="4"/>
  <c r="C18" i="4"/>
  <c r="B18" i="4"/>
  <c r="K18" i="4" s="1"/>
  <c r="M18" i="4" s="1"/>
  <c r="D17" i="4"/>
  <c r="C17" i="4"/>
  <c r="B17" i="4"/>
  <c r="K17" i="4" s="1"/>
  <c r="M17" i="4" s="1"/>
  <c r="D16" i="4"/>
  <c r="C16" i="4"/>
  <c r="B16" i="4"/>
  <c r="K16" i="4" s="1"/>
  <c r="D15" i="4"/>
  <c r="C15" i="4"/>
  <c r="B15" i="4"/>
  <c r="K15" i="4" s="1"/>
  <c r="M15" i="4" s="1"/>
  <c r="D14" i="4"/>
  <c r="C14" i="4"/>
  <c r="B14" i="4"/>
  <c r="K14" i="4" s="1"/>
  <c r="M14" i="4" s="1"/>
  <c r="D13" i="4"/>
  <c r="C13" i="4"/>
  <c r="B13" i="4"/>
  <c r="K13" i="4" s="1"/>
  <c r="M13" i="4" s="1"/>
  <c r="D12" i="4"/>
  <c r="C12" i="4"/>
  <c r="B12" i="4"/>
  <c r="K12" i="4" s="1"/>
  <c r="M12" i="4" s="1"/>
  <c r="D11" i="4"/>
  <c r="C11" i="4"/>
  <c r="B11" i="4"/>
  <c r="K11" i="4" s="1"/>
  <c r="M11" i="4" s="1"/>
  <c r="D10" i="4"/>
  <c r="C10" i="4"/>
  <c r="B10" i="4"/>
  <c r="K10" i="4" s="1"/>
  <c r="M10" i="4" s="1"/>
  <c r="D9" i="4"/>
  <c r="C9" i="4"/>
  <c r="B9" i="4"/>
  <c r="K9" i="4" s="1"/>
  <c r="M9" i="4" s="1"/>
  <c r="D8" i="4"/>
  <c r="C8" i="4"/>
  <c r="B8" i="4"/>
  <c r="K8" i="4" s="1"/>
  <c r="M8" i="4" s="1"/>
  <c r="D7" i="4"/>
  <c r="C7" i="4"/>
  <c r="B7" i="4"/>
  <c r="K7" i="4" s="1"/>
  <c r="M7" i="4" s="1"/>
  <c r="D6" i="4"/>
  <c r="C6" i="4"/>
  <c r="B6" i="4"/>
  <c r="K6" i="4" s="1"/>
  <c r="K5" i="4"/>
  <c r="M5" i="4" s="1"/>
  <c r="D5" i="4"/>
  <c r="C5" i="4"/>
  <c r="B16" i="5" l="1"/>
  <c r="B15" i="5"/>
  <c r="B14" i="5"/>
  <c r="B13" i="5"/>
  <c r="B12" i="5"/>
  <c r="B11" i="5"/>
  <c r="B10" i="5"/>
  <c r="G8" i="5"/>
  <c r="B9" i="5"/>
  <c r="G9" i="5"/>
  <c r="B7" i="5"/>
  <c r="G5" i="5"/>
  <c r="B16" i="3"/>
  <c r="B14" i="6" s="1"/>
  <c r="N30" i="4"/>
  <c r="E30" i="4"/>
  <c r="N29" i="4"/>
  <c r="E29" i="4"/>
  <c r="E28" i="4"/>
  <c r="F28" i="4" s="1"/>
  <c r="N28" i="4"/>
  <c r="E27" i="4"/>
  <c r="G27" i="4" s="1"/>
  <c r="N27" i="4"/>
  <c r="E26" i="4"/>
  <c r="G26" i="4" s="1"/>
  <c r="N26" i="4"/>
  <c r="E25" i="4"/>
  <c r="F25" i="4" s="1"/>
  <c r="N25" i="4"/>
  <c r="N24" i="4"/>
  <c r="E24" i="4"/>
  <c r="H24" i="4" s="1"/>
  <c r="N23" i="4"/>
  <c r="E23" i="4"/>
  <c r="H23" i="4" s="1"/>
  <c r="N22" i="4"/>
  <c r="E22" i="4"/>
  <c r="G22" i="4" s="1"/>
  <c r="E21" i="4"/>
  <c r="G21" i="4" s="1"/>
  <c r="N21" i="4"/>
  <c r="N20" i="4"/>
  <c r="E20" i="4"/>
  <c r="G20" i="4" s="1"/>
  <c r="N19" i="4"/>
  <c r="E19" i="4"/>
  <c r="F19" i="4" s="1"/>
  <c r="N18" i="4"/>
  <c r="E18" i="4"/>
  <c r="H18" i="4" s="1"/>
  <c r="N17" i="4"/>
  <c r="E17" i="4"/>
  <c r="F17" i="4" s="1"/>
  <c r="M16" i="4"/>
  <c r="N16" i="4" s="1"/>
  <c r="E16" i="4"/>
  <c r="N15" i="4"/>
  <c r="E15" i="4"/>
  <c r="N14" i="4"/>
  <c r="E14" i="4"/>
  <c r="F14" i="4" s="1"/>
  <c r="E13" i="4"/>
  <c r="F13" i="4" s="1"/>
  <c r="N13" i="4"/>
  <c r="N12" i="4"/>
  <c r="E12" i="4"/>
  <c r="F12" i="4" s="1"/>
  <c r="N11" i="4"/>
  <c r="E11" i="4"/>
  <c r="G11" i="4" s="1"/>
  <c r="N10" i="4"/>
  <c r="E10" i="4"/>
  <c r="G10" i="4" s="1"/>
  <c r="N9" i="4"/>
  <c r="E9" i="4"/>
  <c r="E8" i="4"/>
  <c r="F8" i="4" s="1"/>
  <c r="N8" i="4"/>
  <c r="N7" i="4"/>
  <c r="E7" i="4"/>
  <c r="H7" i="4" s="1"/>
  <c r="I7" i="4" s="1"/>
  <c r="M6" i="4"/>
  <c r="N6" i="4" s="1"/>
  <c r="E6" i="4"/>
  <c r="F6" i="4" s="1"/>
  <c r="N5" i="4"/>
  <c r="E5" i="4"/>
  <c r="B7" i="3" l="1"/>
  <c r="B8" i="3" s="1"/>
  <c r="B9" i="6" s="1"/>
  <c r="F27" i="4"/>
  <c r="H27" i="4"/>
  <c r="B24" i="3"/>
  <c r="B5" i="3"/>
  <c r="B4" i="6" s="1"/>
  <c r="G30" i="4"/>
  <c r="H30" i="4"/>
  <c r="L30" i="4" s="1"/>
  <c r="F30" i="4"/>
  <c r="G28" i="4"/>
  <c r="H28" i="4"/>
  <c r="G29" i="4"/>
  <c r="H29" i="4"/>
  <c r="F29" i="4"/>
  <c r="I28" i="4"/>
  <c r="L28" i="4"/>
  <c r="F26" i="4"/>
  <c r="H26" i="4"/>
  <c r="I26" i="4" s="1"/>
  <c r="I27" i="4"/>
  <c r="L27" i="4"/>
  <c r="G25" i="4"/>
  <c r="H25" i="4"/>
  <c r="I25" i="4" s="1"/>
  <c r="I24" i="4"/>
  <c r="L24" i="4"/>
  <c r="F24" i="4"/>
  <c r="G24" i="4"/>
  <c r="F23" i="4"/>
  <c r="G23" i="4"/>
  <c r="I23" i="4"/>
  <c r="L23" i="4"/>
  <c r="F21" i="4"/>
  <c r="F22" i="4"/>
  <c r="H22" i="4"/>
  <c r="I22" i="4" s="1"/>
  <c r="H21" i="4"/>
  <c r="I21" i="4" s="1"/>
  <c r="F20" i="4"/>
  <c r="H20" i="4"/>
  <c r="I20" i="4" s="1"/>
  <c r="G19" i="4"/>
  <c r="H19" i="4"/>
  <c r="I18" i="4"/>
  <c r="L18" i="4"/>
  <c r="F18" i="4"/>
  <c r="G18" i="4"/>
  <c r="G17" i="4"/>
  <c r="H17" i="4"/>
  <c r="I17" i="4" s="1"/>
  <c r="G16" i="4"/>
  <c r="H16" i="4"/>
  <c r="L16" i="4" s="1"/>
  <c r="F16" i="4"/>
  <c r="G15" i="4"/>
  <c r="H15" i="4"/>
  <c r="F15" i="4"/>
  <c r="G14" i="4"/>
  <c r="H14" i="4"/>
  <c r="G13" i="4"/>
  <c r="H13" i="4"/>
  <c r="I13" i="4" s="1"/>
  <c r="G12" i="4"/>
  <c r="H12" i="4"/>
  <c r="F11" i="4"/>
  <c r="H11" i="4"/>
  <c r="G8" i="4"/>
  <c r="F10" i="4"/>
  <c r="H10" i="4"/>
  <c r="I10" i="4" s="1"/>
  <c r="H8" i="4"/>
  <c r="I8" i="4" s="1"/>
  <c r="G9" i="4"/>
  <c r="H9" i="4"/>
  <c r="F9" i="4"/>
  <c r="F7" i="4"/>
  <c r="G7" i="4"/>
  <c r="L7" i="4"/>
  <c r="H6" i="4"/>
  <c r="I6" i="4" s="1"/>
  <c r="G6" i="4"/>
  <c r="G5" i="4"/>
  <c r="H5" i="4"/>
  <c r="F5" i="4"/>
  <c r="B8" i="6" l="1"/>
  <c r="B14" i="3"/>
  <c r="E16" i="5" s="1"/>
  <c r="F16" i="5" s="1"/>
  <c r="B15" i="6"/>
  <c r="B6" i="3"/>
  <c r="B5" i="6" s="1"/>
  <c r="B22" i="3"/>
  <c r="B9" i="3"/>
  <c r="L26" i="4"/>
  <c r="I30" i="4"/>
  <c r="L25" i="4"/>
  <c r="I29" i="4"/>
  <c r="L29" i="4"/>
  <c r="L22" i="4"/>
  <c r="L21" i="4"/>
  <c r="L20" i="4"/>
  <c r="I19" i="4"/>
  <c r="L19" i="4"/>
  <c r="L17" i="4"/>
  <c r="I16" i="4"/>
  <c r="I15" i="4"/>
  <c r="L15" i="4"/>
  <c r="L8" i="4"/>
  <c r="I14" i="4"/>
  <c r="L14" i="4"/>
  <c r="L13" i="4"/>
  <c r="I12" i="4"/>
  <c r="L12" i="4"/>
  <c r="I11" i="4"/>
  <c r="L11" i="4"/>
  <c r="L10" i="4"/>
  <c r="I9" i="4"/>
  <c r="L9" i="4"/>
  <c r="L6" i="4"/>
  <c r="I5" i="4"/>
  <c r="L5" i="4"/>
  <c r="E7" i="5" l="1"/>
  <c r="F7" i="5" s="1"/>
  <c r="E6" i="5"/>
  <c r="F6" i="5" s="1"/>
  <c r="E5" i="5"/>
  <c r="F5" i="5" s="1"/>
  <c r="H5" i="5" s="1"/>
  <c r="E9" i="5"/>
  <c r="F9" i="5" s="1"/>
  <c r="E8" i="5"/>
  <c r="F8" i="5" s="1"/>
  <c r="E11" i="5"/>
  <c r="F11" i="5" s="1"/>
  <c r="B15" i="3"/>
  <c r="B12" i="6" s="1"/>
  <c r="E12" i="5"/>
  <c r="F12" i="5" s="1"/>
  <c r="E15" i="5"/>
  <c r="F15" i="5" s="1"/>
  <c r="E14" i="5"/>
  <c r="F14" i="5" s="1"/>
  <c r="E13" i="5"/>
  <c r="F13" i="5" s="1"/>
  <c r="B10" i="6"/>
  <c r="E10" i="5"/>
  <c r="F10" i="5" s="1"/>
  <c r="B10" i="3"/>
  <c r="B6" i="6"/>
  <c r="B12" i="3"/>
  <c r="B11" i="3"/>
  <c r="H6" i="5" l="1"/>
  <c r="H7" i="5" s="1"/>
  <c r="H8" i="5" s="1"/>
  <c r="H9" i="5" s="1"/>
  <c r="H10" i="5" s="1"/>
  <c r="H11" i="5" s="1"/>
  <c r="H12" i="5" s="1"/>
  <c r="H13" i="5" s="1"/>
  <c r="H14" i="5" s="1"/>
  <c r="H15" i="5" s="1"/>
  <c r="H16" i="5" s="1"/>
  <c r="B13" i="6" l="1"/>
</calcChain>
</file>

<file path=xl/sharedStrings.xml><?xml version="1.0" encoding="utf-8"?>
<sst xmlns="http://schemas.openxmlformats.org/spreadsheetml/2006/main" count="190" uniqueCount="177">
  <si>
    <t>Turn intention into a payroll plan</t>
  </si>
  <si>
    <t>Reference limits are not eligibility decisions. Gold cells come from your records.</t>
  </si>
  <si>
    <t>Tax year</t>
  </si>
  <si>
    <t>Every scheduled pay date must be in this year.</t>
  </si>
  <si>
    <t>Annual eligible gross salary</t>
  </si>
  <si>
    <t>Eligible compensation can differ from total pay.</t>
  </si>
  <si>
    <t>Remaining pay periods</t>
  </si>
  <si>
    <t>Up to52; edit actual dates/gross on Payroll.</t>
  </si>
  <si>
    <t>First remaining pay date</t>
  </si>
  <si>
    <t>Example biweekly; replace with your calendar.</t>
  </si>
  <si>
    <t>Days between pay dates</t>
  </si>
  <si>
    <t>Semimonthly: overwrite dates on Payroll.</t>
  </si>
  <si>
    <t>IRA YTD contributions</t>
  </si>
  <si>
    <t>Traditional + Roth share the annual limit.</t>
  </si>
  <si>
    <t>Verified employee annual limit</t>
  </si>
  <si>
    <t>Blank=UNKNOWN; only permitted catch-up.</t>
  </si>
  <si>
    <t>Verified IRA eligible limit</t>
  </si>
  <si>
    <t>Blank=UNKNOWN. Deductibility is separate.</t>
  </si>
  <si>
    <t>Match known?1 / unknown0</t>
  </si>
  <si>
    <t>Unknown is not zero.</t>
  </si>
  <si>
    <t>Match rate</t>
  </si>
  <si>
    <t>Example50 cents per eligible dollar.</t>
  </si>
  <si>
    <t>Salary cap for match</t>
  </si>
  <si>
    <t>Example first6% per paycheck.</t>
  </si>
  <si>
    <t>Employer vested fraction</t>
  </si>
  <si>
    <t>Blank=UNKNOWN; confirm service schedule.</t>
  </si>
  <si>
    <t>True-up known?1 / unknown0</t>
  </si>
  <si>
    <t>No annual true-up assumed if unknown.</t>
  </si>
  <si>
    <t>True-up provided?1 / no0</t>
  </si>
  <si>
    <t>Simple annual formula; check service rules.</t>
  </si>
  <si>
    <t>Initial employee rate</t>
  </si>
  <si>
    <t>Pre-tax+Roth share employee annual limit.</t>
  </si>
  <si>
    <t>Step-up starts at remaining pay#</t>
  </si>
  <si>
    <t>1 means full-year change.</t>
  </si>
  <si>
    <t>New employee rate</t>
  </si>
  <si>
    <t>Check take-home affordability.</t>
  </si>
  <si>
    <t>Employee share sent to Roth</t>
  </si>
  <si>
    <t>Rest is pre-tax; plan must permit choice.</t>
  </si>
  <si>
    <t>Planned IRA per month</t>
  </si>
  <si>
    <t>After-tax cash, separate eligibility check.</t>
  </si>
  <si>
    <t>Monthly cash saving capacity</t>
  </si>
  <si>
    <t>From take-home budget, not gross salary.</t>
  </si>
  <si>
    <t>Prior-year employer FICA wages</t>
  </si>
  <si>
    <t>Confirm Roth catch-up implications.</t>
  </si>
  <si>
    <t>Total annual scheduled pay periods</t>
  </si>
  <si>
    <t>Rule source/date: enter plan document and payroll contact</t>
  </si>
  <si>
    <t>Check limits, match and cash</t>
  </si>
  <si>
    <t>Unknown is a task to resolve. No tax-optimal account is selected.</t>
  </si>
  <si>
    <t>Projected employee annual</t>
  </si>
  <si>
    <t>Employee deferrals only.</t>
  </si>
  <si>
    <t>Employee limit headroom</t>
  </si>
  <si>
    <t>Negative=proposed excess; change plan.</t>
  </si>
  <si>
    <t>Projected IRA annual</t>
  </si>
  <si>
    <t>Includes IRA YTD.</t>
  </si>
  <si>
    <t>IRA eligibility headroom</t>
  </si>
  <si>
    <t>Not a deduction calculation.</t>
  </si>
  <si>
    <t>New employer match</t>
  </si>
  <si>
    <t>Per-pay rule before true-up.</t>
  </si>
  <si>
    <t>YTD plus future match.</t>
  </si>
  <si>
    <t>Vested new employer amount</t>
  </si>
  <si>
    <t>Based on entered vesting fraction.</t>
  </si>
  <si>
    <t>Match left by paycheck rule</t>
  </si>
  <si>
    <t>Potential gap, not an entitlement.</t>
  </si>
  <si>
    <t>Possible annual true-up</t>
  </si>
  <si>
    <t>Remaining cash cost</t>
  </si>
  <si>
    <t>Fill every remaining payroll cash estimate.</t>
  </si>
  <si>
    <t>Calendar status</t>
  </si>
  <si>
    <t>No automatic cross-year limit reset.</t>
  </si>
  <si>
    <t>Uniform4% own</t>
  </si>
  <si>
    <t>Full-year illustration.</t>
  </si>
  <si>
    <t>Uniform4% match</t>
  </si>
  <si>
    <t>Requires known rule.</t>
  </si>
  <si>
    <t>Uniform6% own</t>
  </si>
  <si>
    <t>Does not establish affordability.</t>
  </si>
  <si>
    <t>Uniform6% match</t>
  </si>
  <si>
    <t>Vesting/true-up depend on plan.</t>
  </si>
  <si>
    <t>Catch-up routing check</t>
  </si>
  <si>
    <t>2026 reference only; check age/plan and other employers. No automatic tax routing.</t>
  </si>
  <si>
    <t>Remaining periods check</t>
  </si>
  <si>
    <t>Before acting confirm annual limits, IRA eligibility, match, true-up, vesting, cash effect and Roth catch-up rules.</t>
  </si>
  <si>
    <t>Schedule each paycheck</t>
  </si>
  <si>
    <t>Edit gold dates/gross/cash cells. Blank cash estimate is unverified.</t>
  </si>
  <si>
    <t>Pay#</t>
  </si>
  <si>
    <t>Pay date</t>
  </si>
  <si>
    <t>Eligible gross</t>
  </si>
  <si>
    <t>Deferral %</t>
  </si>
  <si>
    <t>Employee</t>
  </si>
  <si>
    <t>Pre-tax</t>
  </si>
  <si>
    <t>Roth</t>
  </si>
  <si>
    <t>Employer</t>
  </si>
  <si>
    <t>Vested employer</t>
  </si>
  <si>
    <t>Cash reduction</t>
  </si>
  <si>
    <t>Year check</t>
  </si>
  <si>
    <t>Match gap</t>
  </si>
  <si>
    <t>IRA contribution calendar</t>
  </si>
  <si>
    <t>After-tax cash. Eligibility and deductibility are separate.</t>
  </si>
  <si>
    <t>Month</t>
  </si>
  <si>
    <t>Planned contribution</t>
  </si>
  <si>
    <t>Note</t>
  </si>
  <si>
    <t/>
  </si>
  <si>
    <t>Primary references and model limits</t>
  </si>
  <si>
    <t>Checked October 2, 2026. Match and true-up must follow your actual plan.</t>
  </si>
  <si>
    <t>Individual deferral limit across plans</t>
  </si>
  <si>
    <t>https://www.irs.gov/retirement-plans/how-much-salary-can-you-defer-if-youre-eligible-for-more-than-one-retirement-plan</t>
  </si>
  <si>
    <t>Supports aggregation across the applicable plans. The page has historical dollar examples; use Notice 2025-67 for 2026 amounts. 457(b) has a separate limit and is outside this simple payroll model.</t>
  </si>
  <si>
    <t>Employer matching follows plan terms</t>
  </si>
  <si>
    <t>https://www.irs.gov/retirement-plans/matching-contributions-help-you-save-more-for-retirement</t>
  </si>
  <si>
    <t>Employer matching relates to salary contributed to that plan and its formula. The model separates current-plan eligible deferrals from all-plan personal deferrals.</t>
  </si>
  <si>
    <t>Annual true-up explanation</t>
  </si>
  <si>
    <t>https://www.irs.gov/pub/irs-tege/epn_2012_3.pdf</t>
  </si>
  <si>
    <t>Historical IRS newsletter, September 2012, pages 6-7: annual matching versus paycheck deposits. Used for the mechanism only, not current limits. Actual service and compensation conditions require plan confirmation.</t>
  </si>
  <si>
    <t>2026 cost-of-living limits</t>
  </si>
  <si>
    <t>https://www.irs.gov/pub/irs-drop/n-25-67.pdf</t>
  </si>
  <si>
    <t>Notice 2025-67: employee base limit $24,500; IRA base $7,500. Catch-up permission, age, eligibility, compensation caps and income conditions require separate confirmation.</t>
  </si>
  <si>
    <t>Own YTD - ALL aggregating plans</t>
  </si>
  <si>
    <t>Match YTD - current employer ONLY</t>
  </si>
  <si>
    <t>Own YTD - current matching plan</t>
  </si>
  <si>
    <t>Eligible gross YTD - current employer</t>
  </si>
  <si>
    <t>Cash period first month (1-12)</t>
  </si>
  <si>
    <t>Cash period last month (1-12)</t>
  </si>
  <si>
    <t>Reserved cash at period start</t>
  </si>
  <si>
    <t>Pay-count state</t>
  </si>
  <si>
    <t>Cash-period state</t>
  </si>
  <si>
    <t>Includes prior employers for the personal limit; do not reuse in current-plan true-up.</t>
  </si>
  <si>
    <t>Matching dollars only. Exclude nonelective/profit-sharing contributions.</t>
  </si>
  <si>
    <t>Eligible own deferrals at THIS employer only; zero if none. Must not exceed ALL-plan YTD.</t>
  </si>
  <si>
    <t>Eligible compensation already paid by THIS employer only.</t>
  </si>
  <si>
    <t>Whole calendar months in selected tax year. Budget and cash costs use this same period.</t>
  </si>
  <si>
    <t>Every remaining payroll date must fit the chosen cash period.</t>
  </si>
  <si>
    <t>Cash already set aside for this period; zero if none.</t>
  </si>
  <si>
    <t>Midyear: enter YTD first. Schedule remaining pay only; IRA months outside the cash period are excluded.</t>
  </si>
  <si>
    <t>Cash period</t>
  </si>
  <si>
    <t>Cash calendar state</t>
  </si>
  <si>
    <t>Same-period cash headroom</t>
  </si>
  <si>
    <t>Monthly capacity x selected months + reserved cash - same-period costs.</t>
  </si>
  <si>
    <t>Current-employer annual match</t>
  </si>
  <si>
    <t>Current-plan own YTD + future own; current eligible gross only. Nonelective dollars excluded.</t>
  </si>
  <si>
    <t>In period?</t>
  </si>
  <si>
    <t>Payroll cash</t>
  </si>
  <si>
    <t>Total cash cost</t>
  </si>
  <si>
    <t>New capacity</t>
  </si>
  <si>
    <t>Cash remaining</t>
  </si>
  <si>
    <t>Close the payroll and cash loop</t>
  </si>
  <si>
    <t>Nora example | fictional payroll cost | verify your plan and dates</t>
  </si>
  <si>
    <t>Own deferrals: YTD + scheduled</t>
  </si>
  <si>
    <t>Personal-limit headroom</t>
  </si>
  <si>
    <t>Future employer match</t>
  </si>
  <si>
    <t>Possible current-plan true-up</t>
  </si>
  <si>
    <t>IRA: YTD + selected period</t>
  </si>
  <si>
    <t>IRA-limit headroom</t>
  </si>
  <si>
    <t>Cash available for same period</t>
  </si>
  <si>
    <t>Cash left at period end</t>
  </si>
  <si>
    <t>Lowest month-end cash</t>
  </si>
  <si>
    <t>Payroll dates</t>
  </si>
  <si>
    <t>Cash period dates</t>
  </si>
  <si>
    <t>Cash cost is entered from a payroll estimate or observation; this workbook does not calculate tax savings.</t>
  </si>
  <si>
    <t>Open IRA for monthly cash timing. A positive annual balance does not fund an earlier shortfall.</t>
  </si>
  <si>
    <t>Example: $150 x 26 payrolls + $100 x 12 IRA months = $5,100. $450 x 12 capacity = $5,400; $300 remains.</t>
  </si>
  <si>
    <t>May and October have three payrolls: $550 cost vs $450 new capacity. Each uses $100 saved in earlier months.</t>
  </si>
  <si>
    <t>Confirm eligibility, limits, match, vesting and true-up with your plan before submitting payroll changes.</t>
  </si>
  <si>
    <t>Retirement From Here | R2 instructions</t>
  </si>
  <si>
    <t>R2 | Fund a contribution change</t>
  </si>
  <si>
    <t>Save Your-Copy first. Fill Inputs, then replace Payroll dates, eligible gross and cash estimates from records. IRA shows selected months and cash timing. Overview gives the decision; Results preserves detail.</t>
  </si>
  <si>
    <t>1. Keep YTD scopes separate</t>
  </si>
  <si>
    <t>Inputs B9: own deferrals across ALL plans whose limits aggregate. B30: own eligible matching deferrals at the CURRENT employer only. B31: current-employer eligible gross YTD. B10: current-employer MATCH only; exclude profit sharing or nonelective contributions. Prior-employer deferrals reduce personal limit headroom but never earn current-employer true-up.</t>
  </si>
  <si>
    <t>2. Confirm rules, including unknowns</t>
  </si>
  <si>
    <t>Enter personally verified annual limits and IRA eligibility; blank is unknown. The example uses 2026 base references $24,500 employee deferrals and $7,500 combined IRA, not catch-up eligibility. Match, vesting and annual true-up require plan confirmation. Simple true-up does not model employment-date conditions, unusual tiers or separate eligible contribution classes.</t>
  </si>
  <si>
    <t>3. Use one cash period</t>
  </si>
  <si>
    <t>B32/B33 choose whole calendar months in this tax year; B25 is monthly take-home saving capacity; B34 is cash already reserved for that period. Every remaining payroll date must fit. Enter IRA amounts only for selected months; outside months are excluded. Capacity = monthly capacity x selected months + starting reserve. Compare with payroll cash reduction plus selected IRA deposits.</t>
  </si>
  <si>
    <t>4. Fill the used inputs</t>
  </si>
  <si>
    <t>The selected rate on each active paycheck must be numeric; known zero is valid. Blank active eligible gross blocks dependent deferral and match totals. An unused rate does not block the chosen schedule. Missing cash costs block cash results, not independent gross-based illustrations. Pre-tax/Roth allocation requires its own verified share.</t>
  </si>
  <si>
    <t>5. Nora: a complete fictional case</t>
  </si>
  <si>
    <t>Annual eligible gross $80,000 / 26 pays; 6% own = $4,800; match 50% of the first 6% = $2,400. Exact gross division is retained; display rounds cents, unlike an actual payroll ledger. Hypothetical observed take-home reduction $150/pay gives $3,900; $100/month IRA adds $1,200. $450/month capacity gives $5,400, leaving $300. No tax savings are inferred.</t>
  </si>
  <si>
    <t>6. Dates can change the answer</t>
  </si>
  <si>
    <t>Jan 9 plus 14 days gives three pays in May and October. Each costs $550 including IRA against $450 new capacity; use $100 accumulated earlier. Read IRA cash balances before committing. Midyear example: Oct-Dec capacity $100 x 3 = $300; six pays at $150 cost $900, leaving a $600 shortfall. A full-year envelope would be misleading.</t>
  </si>
  <si>
    <t>7. Act only after confirmation</t>
  </si>
  <si>
    <t>Review negative headroom, monthly cash deficits and PENDING/UNKNOWN states. A zero true-up means none estimated under the entered simple rule, not a promised employer payment. 2026 references: IRS Notice 2025-67 and IRS retirement-plan limit guidance; employer plan documents control match and vesting. Preserve dated payroll and plan confirmation with your saved copy.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</si>
</sst>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0.00;[Red]\(\$#,##0.00\)"/>
    <numFmt numFmtId="165" formatCode="0.0%"/>
    <numFmt numFmtId="166" formatCode="&quot;$&quot;#,##0;[Red]\(&quot;$&quot;#,##0\);&quot;$&quot;0"/>
    <numFmt numFmtId="167" formatCode="&quot;$&quot;#,##0.00"/>
    <numFmt numFmtId="168" formatCode="&quot;$&quot;#,##0.00;[Red]\(&quot;$&quot;#,##0.00\)"/>
  </numFmts>
  <fonts count="11" x14ac:knownFonts="1">
    <font>
      <sz val="11"/>
      <color rgb="FF243746"/>
      <name val="Calibri"/>
    </font>
    <font>
      <sz val="11"/>
      <color rgb="FF243746"/>
      <name val="Aptos"/>
      <family val="2"/>
    </font>
    <font>
      <b/>
      <sz val="11"/>
      <color rgb="FFFFFFFF"/>
      <name val="Aptos"/>
      <family val="2"/>
    </font>
    <font>
      <sz val="12"/>
      <color rgb="FF2C3E5C"/>
      <name val="Aptos"/>
      <family val="2"/>
    </font>
    <font>
      <b/>
      <sz val="21"/>
      <color rgb="FF2C3E5C"/>
      <name val="Aptos"/>
      <family val="2"/>
    </font>
    <font>
      <b/>
      <sz val="12"/>
      <color rgb="FF2C3E5C"/>
      <name val="Aptos"/>
      <family val="2"/>
    </font>
    <font>
      <b/>
      <sz val="23"/>
      <color rgb="FF2C3E5C"/>
      <name val="Aptos"/>
      <family val="2"/>
    </font>
    <font>
      <sz val="12"/>
      <color rgb="FF4E888B"/>
      <name val="Aptos"/>
      <family val="2"/>
    </font>
    <font>
      <sz val="12"/>
      <color rgb="FF243746"/>
      <name val="Calibri"/>
      <family val="2"/>
    </font>
    <font>
      <sz val="20"/>
      <color rgb="FF243746"/>
      <name val="Calibri"/>
      <family val="2"/>
    </font>
    <font>
      <b/>
      <sz val="11"/>
      <color rgb="FF243746"/>
      <name val="Aptos"/>
      <family val="2"/>
    </font>
  </fonts>
  <fills count="6">
    <fill>
      <patternFill patternType="none"/>
    </fill>
    <fill>
      <patternFill patternType="gray125"/>
    </fill>
    <fill>
      <patternFill patternType="solid">
        <fgColor rgb="FF183D4A"/>
        <bgColor indexed="64"/>
      </patternFill>
    </fill>
    <fill>
      <patternFill patternType="solid">
        <fgColor rgb="FFFFF0CC"/>
        <bgColor indexed="64"/>
      </patternFill>
    </fill>
    <fill>
      <patternFill patternType="solid">
        <fgColor rgb="FFEFEFEF"/>
        <bgColor indexed="64"/>
      </patternFill>
    </fill>
    <fill>
      <patternFill patternType="solid">
        <fgColor rgb="FFFFF2CC"/>
        <bgColor indexed="64"/>
      </patternFill>
    </fill>
  </fills>
  <borders count="1">
    <border>
      <left/>
      <right/>
      <top/>
      <bottom/>
      <diagonal/>
    </border>
  </borders>
  <cellStyleXfs count="1">
    <xf numFmtId="0" fontId="0" fillId="0" borderId="0"/>
  </cellStyleXfs>
  <cellXfs count="31">
    <xf numFmtId="0" fontId="0" fillId="0" borderId="0" xfId="0" applyAlignment="1">
      <alignment vertical="center" wrapText="1"/>
    </xf>
    <xf numFmtId="0" fontId="1" fillId="0" borderId="0" xfId="0" applyFont="1" applyAlignment="1">
      <alignment vertical="center" wrapText="1"/>
    </xf>
    <xf numFmtId="0" fontId="1" fillId="0" borderId="0" xfId="0" applyFont="1" applyAlignment="1">
      <alignment vertical="center" wrapText="1"/>
    </xf>
    <xf numFmtId="0" fontId="2" fillId="2" borderId="0" xfId="0" applyFont="1" applyFill="1" applyAlignment="1">
      <alignment vertical="center"/>
    </xf>
    <xf numFmtId="0" fontId="1" fillId="3" borderId="0" xfId="0" applyFont="1" applyFill="1" applyProtection="1">
      <protection locked="0"/>
    </xf>
    <xf numFmtId="164" fontId="1" fillId="3" borderId="0" xfId="0" applyNumberFormat="1" applyFont="1" applyFill="1" applyProtection="1">
      <protection locked="0"/>
    </xf>
    <xf numFmtId="14" fontId="1" fillId="3" borderId="0" xfId="0" applyNumberFormat="1" applyFont="1" applyFill="1" applyProtection="1">
      <protection locked="0"/>
    </xf>
    <xf numFmtId="165" fontId="1" fillId="3" borderId="0" xfId="0" applyNumberFormat="1" applyFont="1" applyFill="1" applyProtection="1">
      <protection locked="0"/>
    </xf>
    <xf numFmtId="0" fontId="1" fillId="3" borderId="0" xfId="0" applyFont="1" applyFill="1" applyAlignment="1" applyProtection="1">
      <alignment wrapText="1"/>
      <protection locked="0"/>
    </xf>
    <xf numFmtId="164" fontId="1" fillId="0" borderId="0" xfId="0" applyNumberFormat="1" applyFont="1"/>
    <xf numFmtId="0" fontId="2" fillId="2" borderId="0" xfId="0" applyFont="1" applyFill="1" applyAlignment="1">
      <alignment vertical="center" wrapText="1"/>
    </xf>
    <xf numFmtId="165" fontId="1" fillId="0" borderId="0" xfId="0" applyNumberFormat="1" applyFont="1"/>
    <xf numFmtId="0" fontId="1" fillId="3" borderId="0" xfId="0" applyFont="1" applyFill="1" applyAlignment="1" applyProtection="1">
      <alignment wrapText="1"/>
      <protection locked="0"/>
    </xf>
    <xf numFmtId="0" fontId="4" fillId="0" borderId="0" xfId="0" applyFont="1" applyAlignment="1" applyProtection="1">
      <alignment vertical="center" wrapText="1"/>
    </xf>
    <xf numFmtId="0" fontId="3" fillId="0" borderId="0" xfId="0" applyFont="1" applyAlignment="1" applyProtection="1">
      <alignment vertical="center" wrapText="1"/>
    </xf>
    <xf numFmtId="0" fontId="3" fillId="0" borderId="0" xfId="0" applyFont="1" applyAlignment="1" applyProtection="1">
      <alignment vertical="center" wrapText="1"/>
    </xf>
    <xf numFmtId="0" fontId="5" fillId="4" borderId="0" xfId="0" applyFont="1" applyFill="1" applyAlignment="1" applyProtection="1">
      <alignment vertical="center" wrapText="1"/>
    </xf>
    <xf numFmtId="0" fontId="3" fillId="0" borderId="0" xfId="0" applyFont="1" applyAlignment="1" applyProtection="1">
      <alignment vertical="top" wrapText="1"/>
    </xf>
    <xf numFmtId="0" fontId="6" fillId="0" borderId="0" xfId="0" applyFont="1" applyAlignment="1" applyProtection="1">
      <alignment vertical="center" wrapText="1"/>
    </xf>
    <xf numFmtId="0" fontId="7" fillId="0" borderId="0" xfId="0" applyFont="1" applyAlignment="1" applyProtection="1">
      <alignment vertical="center" wrapText="1"/>
    </xf>
    <xf numFmtId="0" fontId="3" fillId="4" borderId="0" xfId="0" applyFont="1" applyFill="1" applyAlignment="1" applyProtection="1">
      <alignment vertical="center" wrapText="1"/>
    </xf>
    <xf numFmtId="166" fontId="5" fillId="4" borderId="0" xfId="0" applyNumberFormat="1" applyFont="1" applyFill="1" applyAlignment="1" applyProtection="1">
      <alignment horizontal="right" vertical="center" wrapText="1"/>
    </xf>
    <xf numFmtId="166" fontId="3" fillId="0" borderId="0" xfId="0" applyNumberFormat="1" applyFont="1" applyAlignment="1" applyProtection="1">
      <alignment horizontal="right" vertical="center" wrapText="1"/>
    </xf>
    <xf numFmtId="0" fontId="9" fillId="0" borderId="0" xfId="0" applyFont="1" applyAlignment="1" applyProtection="1">
      <alignment vertical="center" wrapText="1"/>
    </xf>
    <xf numFmtId="0" fontId="8" fillId="0" borderId="0" xfId="0" applyFont="1" applyAlignment="1" applyProtection="1">
      <alignment vertical="center" wrapText="1"/>
    </xf>
    <xf numFmtId="0" fontId="10" fillId="0" borderId="0" xfId="0" applyFont="1" applyAlignment="1">
      <alignment vertical="center" wrapText="1"/>
    </xf>
    <xf numFmtId="167" fontId="1" fillId="5" borderId="0" xfId="0" applyNumberFormat="1" applyFont="1" applyFill="1" applyAlignment="1" applyProtection="1">
      <alignment vertical="center" wrapText="1"/>
      <protection locked="0"/>
    </xf>
    <xf numFmtId="1" fontId="1" fillId="5" borderId="0" xfId="0" applyNumberFormat="1" applyFont="1" applyFill="1" applyAlignment="1" applyProtection="1">
      <alignment vertical="center" wrapText="1"/>
      <protection locked="0"/>
    </xf>
    <xf numFmtId="0" fontId="1" fillId="0" borderId="0" xfId="0" applyFont="1" applyAlignment="1" applyProtection="1">
      <alignment vertical="center" wrapText="1"/>
    </xf>
    <xf numFmtId="168" fontId="1" fillId="0" borderId="0" xfId="0" applyNumberFormat="1" applyFont="1" applyAlignment="1" applyProtection="1">
      <alignment vertical="center" wrapText="1"/>
    </xf>
    <xf numFmtId="0" fontId="1" fillId="4" borderId="0" xfId="0" applyFont="1" applyFill="1" applyAlignment="1">
      <alignmen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01538-9C76-4B24-808C-0146457E7ED0}">
  <sheetPr>
    <pageSetUpPr fitToPage="1"/>
  </sheetPr>
  <dimension ref="A1:B21"/>
  <sheetViews>
    <sheetView showGridLines="0" tabSelected="1" zoomScale="90" zoomScaleNormal="90" workbookViewId="0"/>
  </sheetViews>
  <sheetFormatPr defaultRowHeight="15.75" x14ac:dyDescent="0.25"/>
  <cols>
    <col min="1" max="1" width="49.7109375" style="15" customWidth="1"/>
    <col min="2" max="2" width="34.7109375" style="15" customWidth="1"/>
    <col min="3" max="16384" width="9.140625" style="15"/>
  </cols>
  <sheetData>
    <row r="1" spans="1:2" ht="38.1" customHeight="1" x14ac:dyDescent="0.25">
      <c r="A1" s="18" t="s">
        <v>142</v>
      </c>
      <c r="B1" s="14"/>
    </row>
    <row r="2" spans="1:2" ht="33.950000000000003" customHeight="1" x14ac:dyDescent="0.25">
      <c r="A2" s="19" t="s">
        <v>143</v>
      </c>
      <c r="B2" s="14"/>
    </row>
    <row r="4" spans="1:2" ht="27.95" customHeight="1" x14ac:dyDescent="0.25">
      <c r="A4" s="20" t="s">
        <v>144</v>
      </c>
      <c r="B4" s="21">
        <f>Results!B5</f>
        <v>4800.0000000000009</v>
      </c>
    </row>
    <row r="5" spans="1:2" ht="27.95" customHeight="1" x14ac:dyDescent="0.25">
      <c r="A5" s="15" t="s">
        <v>145</v>
      </c>
      <c r="B5" s="22">
        <f>Results!B6</f>
        <v>19700</v>
      </c>
    </row>
    <row r="6" spans="1:2" ht="27.95" customHeight="1" x14ac:dyDescent="0.25">
      <c r="A6" s="15" t="s">
        <v>146</v>
      </c>
      <c r="B6" s="22">
        <f>Results!B9</f>
        <v>2400.0000000000005</v>
      </c>
    </row>
    <row r="7" spans="1:2" ht="27.95" customHeight="1" x14ac:dyDescent="0.25">
      <c r="A7" s="15" t="s">
        <v>147</v>
      </c>
      <c r="B7" s="22">
        <f>Results!B13</f>
        <v>0</v>
      </c>
    </row>
    <row r="8" spans="1:2" ht="27.95" customHeight="1" x14ac:dyDescent="0.25">
      <c r="A8" s="15" t="s">
        <v>148</v>
      </c>
      <c r="B8" s="22">
        <f>Results!B7</f>
        <v>1200</v>
      </c>
    </row>
    <row r="9" spans="1:2" ht="27.95" customHeight="1" x14ac:dyDescent="0.25">
      <c r="A9" s="15" t="s">
        <v>149</v>
      </c>
      <c r="B9" s="22">
        <f>Results!B8</f>
        <v>6300</v>
      </c>
    </row>
    <row r="10" spans="1:2" ht="27.95" customHeight="1" x14ac:dyDescent="0.25">
      <c r="A10" s="20" t="s">
        <v>64</v>
      </c>
      <c r="B10" s="21">
        <f>Results!B14</f>
        <v>5100</v>
      </c>
    </row>
    <row r="11" spans="1:2" ht="27.95" customHeight="1" x14ac:dyDescent="0.25">
      <c r="A11" s="15" t="s">
        <v>150</v>
      </c>
      <c r="B11" s="22">
        <f>IFERROR(IF(AND(ISNUMBER(Inputs!B25),Inputs!B25&gt;=0,Inputs!B37="OK"),Inputs!B25*(Inputs!B33-Inputs!B32+1)+Inputs!B34,"PENDING"),"PENDING")</f>
        <v>5400</v>
      </c>
    </row>
    <row r="12" spans="1:2" ht="27.95" customHeight="1" x14ac:dyDescent="0.25">
      <c r="A12" s="20" t="s">
        <v>151</v>
      </c>
      <c r="B12" s="21">
        <f>Results!B15</f>
        <v>300</v>
      </c>
    </row>
    <row r="13" spans="1:2" ht="27.95" customHeight="1" x14ac:dyDescent="0.25">
      <c r="A13" s="15" t="s">
        <v>152</v>
      </c>
      <c r="B13" s="22">
        <f>IFERROR(IF(COUNT(IRA!H5:H16)=12,MIN(IRA!H5:H16),"PENDING"),"PENDING")</f>
        <v>50</v>
      </c>
    </row>
    <row r="14" spans="1:2" ht="27.95" customHeight="1" x14ac:dyDescent="0.25">
      <c r="A14" s="15" t="s">
        <v>153</v>
      </c>
      <c r="B14" s="22" t="str">
        <f>Results!B16</f>
        <v>Within selected year</v>
      </c>
    </row>
    <row r="15" spans="1:2" ht="27.95" customHeight="1" x14ac:dyDescent="0.25">
      <c r="A15" s="15" t="s">
        <v>154</v>
      </c>
      <c r="B15" s="22" t="str">
        <f>Results!B24</f>
        <v>Within cash period</v>
      </c>
    </row>
    <row r="16" spans="1:2" ht="27.95" customHeight="1" x14ac:dyDescent="0.25"/>
    <row r="17" spans="1:2" ht="47.1" customHeight="1" x14ac:dyDescent="0.25">
      <c r="A17" s="14" t="s">
        <v>155</v>
      </c>
      <c r="B17" s="14"/>
    </row>
    <row r="18" spans="1:2" ht="47.1" customHeight="1" x14ac:dyDescent="0.25">
      <c r="A18" s="14" t="s">
        <v>156</v>
      </c>
      <c r="B18" s="14"/>
    </row>
    <row r="19" spans="1:2" ht="47.1" customHeight="1" x14ac:dyDescent="0.25">
      <c r="A19" s="14" t="s">
        <v>157</v>
      </c>
      <c r="B19" s="14"/>
    </row>
    <row r="20" spans="1:2" ht="47.1" customHeight="1" x14ac:dyDescent="0.25">
      <c r="A20" s="14" t="s">
        <v>158</v>
      </c>
      <c r="B20" s="14"/>
    </row>
    <row r="21" spans="1:2" ht="47.1" customHeight="1" x14ac:dyDescent="0.25">
      <c r="A21" s="14" t="s">
        <v>159</v>
      </c>
      <c r="B21" s="14"/>
    </row>
  </sheetData>
  <sheetProtection sheet="1" objects="1" scenarios="1"/>
  <mergeCells count="7">
    <mergeCell ref="A21:B21"/>
    <mergeCell ref="A1:B1"/>
    <mergeCell ref="A2:B2"/>
    <mergeCell ref="A17:B17"/>
    <mergeCell ref="A18:B18"/>
    <mergeCell ref="A19:B19"/>
    <mergeCell ref="A20:B20"/>
  </mergeCells>
  <printOptions horizontalCentered="1"/>
  <pageMargins left="0.41666666666666669" right="0.41666666666666669" top="0.41666666666666669" bottom="0.41666666666666669" header="0.3" footer="0.3"/>
  <pageSetup fitToHeight="0" orientation="portrait" r:id="rId1"/>
  <headerFooter>
    <oddFooter>&amp;CRetirement From Here | revision 1.1 |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BA3CDA-5002-4E64-B2B7-1CDD7B42D076}">
  <dimension ref="A1:A15"/>
  <sheetViews>
    <sheetView workbookViewId="0"/>
  </sheetViews>
  <sheetFormatPr defaultRowHeight="15.75" x14ac:dyDescent="0.25"/>
  <cols>
    <col min="1" max="1" width="115.7109375" style="24" customWidth="1"/>
    <col min="2" max="16384" width="9.140625" style="24"/>
  </cols>
  <sheetData>
    <row r="1" spans="1:1" ht="48" customHeight="1" x14ac:dyDescent="0.25">
      <c r="A1" s="23" t="s">
        <v>100</v>
      </c>
    </row>
    <row r="2" spans="1:1" ht="48" customHeight="1" x14ac:dyDescent="0.25">
      <c r="A2" s="24" t="s">
        <v>101</v>
      </c>
    </row>
    <row r="3" spans="1:1" ht="48" customHeight="1" x14ac:dyDescent="0.25"/>
    <row r="4" spans="1:1" ht="48" customHeight="1" x14ac:dyDescent="0.25">
      <c r="A4" s="24" t="s">
        <v>102</v>
      </c>
    </row>
    <row r="5" spans="1:1" ht="48" customHeight="1" x14ac:dyDescent="0.25">
      <c r="A5" s="24" t="s">
        <v>103</v>
      </c>
    </row>
    <row r="6" spans="1:1" ht="48" customHeight="1" x14ac:dyDescent="0.25">
      <c r="A6" s="24" t="s">
        <v>104</v>
      </c>
    </row>
    <row r="7" spans="1:1" ht="48" customHeight="1" x14ac:dyDescent="0.25">
      <c r="A7" s="24" t="s">
        <v>105</v>
      </c>
    </row>
    <row r="8" spans="1:1" ht="48" customHeight="1" x14ac:dyDescent="0.25">
      <c r="A8" s="24" t="s">
        <v>106</v>
      </c>
    </row>
    <row r="9" spans="1:1" ht="48" customHeight="1" x14ac:dyDescent="0.25">
      <c r="A9" s="24" t="s">
        <v>107</v>
      </c>
    </row>
    <row r="10" spans="1:1" ht="48" customHeight="1" x14ac:dyDescent="0.25">
      <c r="A10" s="24" t="s">
        <v>108</v>
      </c>
    </row>
    <row r="11" spans="1:1" ht="48" customHeight="1" x14ac:dyDescent="0.25">
      <c r="A11" s="24" t="s">
        <v>109</v>
      </c>
    </row>
    <row r="12" spans="1:1" ht="48" customHeight="1" x14ac:dyDescent="0.25">
      <c r="A12" s="24" t="s">
        <v>110</v>
      </c>
    </row>
    <row r="13" spans="1:1" ht="48" customHeight="1" x14ac:dyDescent="0.25">
      <c r="A13" s="24" t="s">
        <v>111</v>
      </c>
    </row>
    <row r="14" spans="1:1" ht="48" customHeight="1" x14ac:dyDescent="0.25">
      <c r="A14" s="24" t="s">
        <v>112</v>
      </c>
    </row>
    <row r="15" spans="1:1" ht="48" customHeight="1" x14ac:dyDescent="0.25">
      <c r="A15" s="24" t="s">
        <v>113</v>
      </c>
    </row>
  </sheetData>
  <sheetProtection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18"/>
  <sheetViews>
    <sheetView showGridLines="0" workbookViewId="0">
      <pane ySplit="4" topLeftCell="A5" activePane="bottomLeft" state="frozen"/>
      <selection pane="bottomLeft" sqref="A1:H1"/>
    </sheetView>
  </sheetViews>
  <sheetFormatPr defaultRowHeight="15.75" x14ac:dyDescent="0.25"/>
  <cols>
    <col min="1" max="4" width="23.7109375" style="15" customWidth="1"/>
    <col min="5" max="8" width="22" style="15" customWidth="1"/>
    <col min="9" max="16384" width="9.140625" style="15"/>
  </cols>
  <sheetData>
    <row r="1" spans="1:4" ht="35.1" customHeight="1" x14ac:dyDescent="0.25">
      <c r="A1" s="13" t="s">
        <v>160</v>
      </c>
      <c r="B1" s="14"/>
      <c r="C1" s="14"/>
      <c r="D1" s="14"/>
    </row>
    <row r="2" spans="1:4" ht="27" customHeight="1" x14ac:dyDescent="0.25">
      <c r="A2" s="16" t="s">
        <v>161</v>
      </c>
      <c r="B2" s="16"/>
      <c r="C2" s="16"/>
      <c r="D2" s="16"/>
    </row>
    <row r="3" spans="1:4" ht="84.95" customHeight="1" x14ac:dyDescent="0.25">
      <c r="A3" s="17" t="s">
        <v>162</v>
      </c>
      <c r="B3" s="17"/>
      <c r="C3" s="17"/>
      <c r="D3" s="17"/>
    </row>
    <row r="4" spans="1:4" ht="27" customHeight="1" x14ac:dyDescent="0.25">
      <c r="A4" s="16" t="s">
        <v>163</v>
      </c>
      <c r="B4" s="16"/>
      <c r="C4" s="16"/>
      <c r="D4" s="16"/>
    </row>
    <row r="5" spans="1:4" ht="84.95" customHeight="1" x14ac:dyDescent="0.25">
      <c r="A5" s="17" t="s">
        <v>164</v>
      </c>
      <c r="B5" s="17"/>
      <c r="C5" s="17"/>
      <c r="D5" s="17"/>
    </row>
    <row r="6" spans="1:4" ht="27" customHeight="1" x14ac:dyDescent="0.25">
      <c r="A6" s="16" t="s">
        <v>165</v>
      </c>
      <c r="B6" s="16"/>
      <c r="C6" s="16"/>
      <c r="D6" s="16"/>
    </row>
    <row r="7" spans="1:4" ht="84.95" customHeight="1" x14ac:dyDescent="0.25">
      <c r="A7" s="17" t="s">
        <v>166</v>
      </c>
      <c r="B7" s="17"/>
      <c r="C7" s="17"/>
      <c r="D7" s="17"/>
    </row>
    <row r="8" spans="1:4" ht="27" customHeight="1" x14ac:dyDescent="0.25">
      <c r="A8" s="16" t="s">
        <v>167</v>
      </c>
      <c r="B8" s="16"/>
      <c r="C8" s="16"/>
      <c r="D8" s="16"/>
    </row>
    <row r="9" spans="1:4" ht="84.95" customHeight="1" x14ac:dyDescent="0.25">
      <c r="A9" s="17" t="s">
        <v>168</v>
      </c>
      <c r="B9" s="17"/>
      <c r="C9" s="17"/>
      <c r="D9" s="17"/>
    </row>
    <row r="10" spans="1:4" ht="27" customHeight="1" x14ac:dyDescent="0.25">
      <c r="A10" s="16" t="s">
        <v>169</v>
      </c>
      <c r="B10" s="16"/>
      <c r="C10" s="16"/>
      <c r="D10" s="16"/>
    </row>
    <row r="11" spans="1:4" ht="84.95" customHeight="1" x14ac:dyDescent="0.25">
      <c r="A11" s="17" t="s">
        <v>170</v>
      </c>
      <c r="B11" s="17"/>
      <c r="C11" s="17"/>
      <c r="D11" s="17"/>
    </row>
    <row r="12" spans="1:4" ht="27" customHeight="1" x14ac:dyDescent="0.25">
      <c r="A12" s="16" t="s">
        <v>171</v>
      </c>
      <c r="B12" s="16"/>
      <c r="C12" s="16"/>
      <c r="D12" s="16"/>
    </row>
    <row r="13" spans="1:4" ht="84.95" customHeight="1" x14ac:dyDescent="0.25">
      <c r="A13" s="17" t="s">
        <v>172</v>
      </c>
      <c r="B13" s="17"/>
      <c r="C13" s="17"/>
      <c r="D13" s="17"/>
    </row>
    <row r="14" spans="1:4" ht="27" customHeight="1" x14ac:dyDescent="0.25">
      <c r="A14" s="16" t="s">
        <v>173</v>
      </c>
      <c r="B14" s="16"/>
      <c r="C14" s="16"/>
      <c r="D14" s="16"/>
    </row>
    <row r="15" spans="1:4" ht="84.95" customHeight="1" x14ac:dyDescent="0.25">
      <c r="A15" s="17" t="s">
        <v>174</v>
      </c>
      <c r="B15" s="17"/>
      <c r="C15" s="17"/>
      <c r="D15" s="17"/>
    </row>
    <row r="16" spans="1:4" ht="27" customHeight="1" x14ac:dyDescent="0.25">
      <c r="A16" s="16" t="s">
        <v>175</v>
      </c>
      <c r="B16" s="16"/>
      <c r="C16" s="16"/>
      <c r="D16" s="16"/>
    </row>
    <row r="17" spans="1:4" ht="84.95" customHeight="1" x14ac:dyDescent="0.25">
      <c r="A17" s="17" t="s">
        <v>176</v>
      </c>
      <c r="B17" s="17"/>
      <c r="C17" s="17"/>
      <c r="D17" s="17"/>
    </row>
    <row r="18" spans="1:4" ht="27.95" customHeight="1" x14ac:dyDescent="0.25"/>
  </sheetData>
  <sheetProtection sheet="1" objects="1" scenarios="1"/>
  <mergeCells count="17">
    <mergeCell ref="A1:D1"/>
    <mergeCell ref="A2:D2"/>
    <mergeCell ref="A3:D3"/>
    <mergeCell ref="A4:D4"/>
    <mergeCell ref="A5:D5"/>
    <mergeCell ref="A6:D6"/>
    <mergeCell ref="A7:D7"/>
    <mergeCell ref="A8:D8"/>
    <mergeCell ref="A9:D9"/>
    <mergeCell ref="A10:D10"/>
    <mergeCell ref="A11:D11"/>
    <mergeCell ref="A12:D12"/>
    <mergeCell ref="A13:D13"/>
    <mergeCell ref="A14:D14"/>
    <mergeCell ref="A15:D15"/>
    <mergeCell ref="A16:D16"/>
    <mergeCell ref="A17:D17"/>
  </mergeCells>
  <printOptions horizontalCentered="1"/>
  <pageMargins left="0.41666666666666669" right="0.41666666666666669" top="0.41666666666666669" bottom="0.41666666666666669" header="0.2" footer="0.2"/>
  <pageSetup fitToHeight="0" orientation="portrait" r:id="rId1"/>
  <headerFooter>
    <oddFooter>&amp;CRetirement From Here | revision 1.1 | &amp;P</oddFooter>
  </headerFooter>
  <rowBreaks count="1" manualBreakCount="1">
    <brk id="9" max="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37"/>
  <sheetViews>
    <sheetView showGridLines="0" workbookViewId="0">
      <pane ySplit="4" topLeftCell="A5" activePane="bottomLeft" state="frozen"/>
      <selection pane="bottomLeft" sqref="A1:C1"/>
    </sheetView>
  </sheetViews>
  <sheetFormatPr defaultRowHeight="15" x14ac:dyDescent="0.25"/>
  <cols>
    <col min="1" max="1" width="45" style="2" customWidth="1"/>
    <col min="2" max="2" width="24" style="2" customWidth="1"/>
    <col min="3" max="3" width="63" style="2" customWidth="1"/>
    <col min="4" max="8" width="20" style="2" customWidth="1"/>
    <col min="9" max="16384" width="9.140625" style="2"/>
  </cols>
  <sheetData>
    <row r="1" spans="1:3" ht="36" customHeight="1" x14ac:dyDescent="0.25">
      <c r="A1" s="3" t="s">
        <v>0</v>
      </c>
      <c r="B1" s="1"/>
      <c r="C1" s="1"/>
    </row>
    <row r="2" spans="1:3" ht="36" customHeight="1" x14ac:dyDescent="0.25">
      <c r="A2" s="1" t="s">
        <v>1</v>
      </c>
      <c r="B2" s="1"/>
      <c r="C2" s="1"/>
    </row>
    <row r="4" spans="1:3" ht="36" customHeight="1" x14ac:dyDescent="0.25">
      <c r="A4" s="2" t="s">
        <v>2</v>
      </c>
      <c r="B4" s="4">
        <v>2026</v>
      </c>
      <c r="C4" s="2" t="s">
        <v>3</v>
      </c>
    </row>
    <row r="5" spans="1:3" ht="27.95" customHeight="1" x14ac:dyDescent="0.25">
      <c r="A5" s="2" t="s">
        <v>4</v>
      </c>
      <c r="B5" s="5">
        <v>80000</v>
      </c>
      <c r="C5" s="2" t="s">
        <v>5</v>
      </c>
    </row>
    <row r="6" spans="1:3" ht="27.95" customHeight="1" x14ac:dyDescent="0.25">
      <c r="A6" s="2" t="s">
        <v>6</v>
      </c>
      <c r="B6" s="4">
        <v>26</v>
      </c>
      <c r="C6" s="2" t="s">
        <v>7</v>
      </c>
    </row>
    <row r="7" spans="1:3" ht="27.95" customHeight="1" x14ac:dyDescent="0.25">
      <c r="A7" s="2" t="s">
        <v>8</v>
      </c>
      <c r="B7" s="6">
        <v>46031</v>
      </c>
      <c r="C7" s="2" t="s">
        <v>9</v>
      </c>
    </row>
    <row r="8" spans="1:3" ht="27.95" customHeight="1" x14ac:dyDescent="0.25">
      <c r="A8" s="2" t="s">
        <v>10</v>
      </c>
      <c r="B8" s="4">
        <v>14</v>
      </c>
      <c r="C8" s="2" t="s">
        <v>11</v>
      </c>
    </row>
    <row r="9" spans="1:3" ht="27.95" customHeight="1" x14ac:dyDescent="0.25">
      <c r="A9" s="2" t="s">
        <v>114</v>
      </c>
      <c r="B9" s="5">
        <v>0</v>
      </c>
      <c r="C9" s="2" t="s">
        <v>123</v>
      </c>
    </row>
    <row r="10" spans="1:3" ht="27.95" customHeight="1" x14ac:dyDescent="0.25">
      <c r="A10" s="2" t="s">
        <v>115</v>
      </c>
      <c r="B10" s="5">
        <v>0</v>
      </c>
      <c r="C10" s="2" t="s">
        <v>124</v>
      </c>
    </row>
    <row r="11" spans="1:3" ht="27.95" customHeight="1" x14ac:dyDescent="0.25">
      <c r="A11" s="2" t="s">
        <v>12</v>
      </c>
      <c r="B11" s="5">
        <v>0</v>
      </c>
      <c r="C11" s="2" t="s">
        <v>13</v>
      </c>
    </row>
    <row r="12" spans="1:3" ht="27.95" customHeight="1" x14ac:dyDescent="0.25">
      <c r="A12" s="2" t="s">
        <v>14</v>
      </c>
      <c r="B12" s="5">
        <v>24500</v>
      </c>
      <c r="C12" s="2" t="s">
        <v>15</v>
      </c>
    </row>
    <row r="13" spans="1:3" ht="27.95" customHeight="1" x14ac:dyDescent="0.25">
      <c r="A13" s="2" t="s">
        <v>16</v>
      </c>
      <c r="B13" s="5">
        <v>7500</v>
      </c>
      <c r="C13" s="2" t="s">
        <v>17</v>
      </c>
    </row>
    <row r="14" spans="1:3" ht="27.95" customHeight="1" x14ac:dyDescent="0.25">
      <c r="A14" s="2" t="s">
        <v>18</v>
      </c>
      <c r="B14" s="4">
        <v>1</v>
      </c>
      <c r="C14" s="2" t="s">
        <v>19</v>
      </c>
    </row>
    <row r="15" spans="1:3" ht="27.95" customHeight="1" x14ac:dyDescent="0.25">
      <c r="A15" s="2" t="s">
        <v>20</v>
      </c>
      <c r="B15" s="7">
        <v>0.5</v>
      </c>
      <c r="C15" s="2" t="s">
        <v>21</v>
      </c>
    </row>
    <row r="16" spans="1:3" ht="27.95" customHeight="1" x14ac:dyDescent="0.25">
      <c r="A16" s="2" t="s">
        <v>22</v>
      </c>
      <c r="B16" s="7">
        <v>0.06</v>
      </c>
      <c r="C16" s="2" t="s">
        <v>23</v>
      </c>
    </row>
    <row r="17" spans="1:3" ht="27.95" customHeight="1" x14ac:dyDescent="0.25">
      <c r="A17" s="2" t="s">
        <v>24</v>
      </c>
      <c r="B17" s="7">
        <v>1</v>
      </c>
      <c r="C17" s="2" t="s">
        <v>25</v>
      </c>
    </row>
    <row r="18" spans="1:3" ht="27.95" customHeight="1" x14ac:dyDescent="0.25">
      <c r="A18" s="2" t="s">
        <v>26</v>
      </c>
      <c r="B18" s="4">
        <v>1</v>
      </c>
      <c r="C18" s="2" t="s">
        <v>27</v>
      </c>
    </row>
    <row r="19" spans="1:3" ht="27.95" customHeight="1" x14ac:dyDescent="0.25">
      <c r="A19" s="2" t="s">
        <v>28</v>
      </c>
      <c r="B19" s="4">
        <v>0</v>
      </c>
      <c r="C19" s="2" t="s">
        <v>29</v>
      </c>
    </row>
    <row r="20" spans="1:3" ht="27.95" customHeight="1" x14ac:dyDescent="0.25">
      <c r="A20" s="2" t="s">
        <v>30</v>
      </c>
      <c r="B20" s="7">
        <v>0.04</v>
      </c>
      <c r="C20" s="2" t="s">
        <v>31</v>
      </c>
    </row>
    <row r="21" spans="1:3" ht="27.95" customHeight="1" x14ac:dyDescent="0.25">
      <c r="A21" s="2" t="s">
        <v>32</v>
      </c>
      <c r="B21" s="4">
        <v>1</v>
      </c>
      <c r="C21" s="2" t="s">
        <v>33</v>
      </c>
    </row>
    <row r="22" spans="1:3" ht="27.95" customHeight="1" x14ac:dyDescent="0.25">
      <c r="A22" s="2" t="s">
        <v>34</v>
      </c>
      <c r="B22" s="7">
        <v>0.06</v>
      </c>
      <c r="C22" s="2" t="s">
        <v>35</v>
      </c>
    </row>
    <row r="23" spans="1:3" ht="27.95" customHeight="1" x14ac:dyDescent="0.25">
      <c r="A23" s="2" t="s">
        <v>36</v>
      </c>
      <c r="B23" s="7">
        <v>0</v>
      </c>
      <c r="C23" s="2" t="s">
        <v>37</v>
      </c>
    </row>
    <row r="24" spans="1:3" ht="27.95" customHeight="1" x14ac:dyDescent="0.25">
      <c r="A24" s="2" t="s">
        <v>38</v>
      </c>
      <c r="B24" s="5">
        <v>100</v>
      </c>
      <c r="C24" s="2" t="s">
        <v>39</v>
      </c>
    </row>
    <row r="25" spans="1:3" ht="27.95" customHeight="1" x14ac:dyDescent="0.25">
      <c r="A25" s="2" t="s">
        <v>40</v>
      </c>
      <c r="B25" s="5">
        <v>450</v>
      </c>
      <c r="C25" s="2" t="s">
        <v>41</v>
      </c>
    </row>
    <row r="26" spans="1:3" ht="27.95" customHeight="1" x14ac:dyDescent="0.25">
      <c r="A26" s="2" t="s">
        <v>42</v>
      </c>
      <c r="B26" s="5">
        <v>80000</v>
      </c>
      <c r="C26" s="2" t="s">
        <v>43</v>
      </c>
    </row>
    <row r="27" spans="1:3" ht="27.95" customHeight="1" x14ac:dyDescent="0.25">
      <c r="A27" s="2" t="s">
        <v>44</v>
      </c>
      <c r="B27" s="4">
        <v>26</v>
      </c>
    </row>
    <row r="28" spans="1:3" ht="27.95" customHeight="1" x14ac:dyDescent="0.25">
      <c r="A28" s="1" t="s">
        <v>130</v>
      </c>
      <c r="B28" s="1"/>
      <c r="C28" s="1"/>
    </row>
    <row r="29" spans="1:3" ht="27.95" customHeight="1" x14ac:dyDescent="0.25">
      <c r="A29" s="8" t="s">
        <v>45</v>
      </c>
      <c r="B29" s="1"/>
      <c r="C29" s="1"/>
    </row>
    <row r="30" spans="1:3" ht="44.1" customHeight="1" x14ac:dyDescent="0.25">
      <c r="A30" s="25" t="s">
        <v>116</v>
      </c>
      <c r="B30" s="26">
        <v>0</v>
      </c>
      <c r="C30" s="2" t="s">
        <v>125</v>
      </c>
    </row>
    <row r="31" spans="1:3" ht="44.1" customHeight="1" x14ac:dyDescent="0.25">
      <c r="A31" s="25" t="s">
        <v>117</v>
      </c>
      <c r="B31" s="26">
        <v>0</v>
      </c>
      <c r="C31" s="2" t="s">
        <v>126</v>
      </c>
    </row>
    <row r="32" spans="1:3" ht="44.1" customHeight="1" x14ac:dyDescent="0.25">
      <c r="A32" s="25" t="s">
        <v>118</v>
      </c>
      <c r="B32" s="27">
        <v>1</v>
      </c>
      <c r="C32" s="2" t="s">
        <v>127</v>
      </c>
    </row>
    <row r="33" spans="1:3" ht="44.1" customHeight="1" x14ac:dyDescent="0.25">
      <c r="A33" s="25" t="s">
        <v>119</v>
      </c>
      <c r="B33" s="27">
        <v>12</v>
      </c>
      <c r="C33" s="2" t="s">
        <v>128</v>
      </c>
    </row>
    <row r="34" spans="1:3" ht="44.1" customHeight="1" x14ac:dyDescent="0.25">
      <c r="A34" s="25" t="s">
        <v>120</v>
      </c>
      <c r="B34" s="26">
        <v>0</v>
      </c>
      <c r="C34" s="2" t="s">
        <v>129</v>
      </c>
    </row>
    <row r="35" spans="1:3" ht="44.1" customHeight="1" x14ac:dyDescent="0.25">
      <c r="A35" s="25"/>
    </row>
    <row r="36" spans="1:3" ht="44.1" customHeight="1" x14ac:dyDescent="0.25">
      <c r="A36" s="25" t="s">
        <v>121</v>
      </c>
      <c r="B36" s="28" t="str">
        <f>IFERROR(IF(AND(COUNT(B6,B27)=2,B6=INT(B6),B27=INT(B27),B6&gt;=1,B6&lt;=52,B27&gt;=B6,B27&lt;=52),"OK","FIX PAY COUNTS"),"FIX PAY COUNTS")</f>
        <v>OK</v>
      </c>
    </row>
    <row r="37" spans="1:3" ht="44.1" customHeight="1" x14ac:dyDescent="0.25">
      <c r="A37" s="25" t="s">
        <v>122</v>
      </c>
      <c r="B37" s="28" t="str">
        <f>IFERROR(IF(AND(COUNT(B32:B34)=3,B32=INT(B32),B33=INT(B33),B32&gt;=1,B33&lt;=12,B33&gt;=B32,B34&gt;=0),"OK","PENDING PERIOD"),"PENDING PERIOD")</f>
        <v>OK</v>
      </c>
    </row>
  </sheetData>
  <sheetProtection sheet="1" objects="1" scenarios="1"/>
  <mergeCells count="4">
    <mergeCell ref="A1:C1"/>
    <mergeCell ref="A2:C2"/>
    <mergeCell ref="A28:C28"/>
    <mergeCell ref="A29:C29"/>
  </mergeCells>
  <dataValidations count="6">
    <dataValidation type="whole" allowBlank="1" showErrorMessage="1" errorTitle="Check input" error="Enter a value within the stated range." sqref="B6 B27" xr:uid="{00000000-0002-0000-0100-000000000000}">
      <formula1>1</formula1>
      <formula2>52</formula2>
    </dataValidation>
    <dataValidation type="whole" allowBlank="1" showErrorMessage="1" errorTitle="Check input" error="Enter a value within the stated range." sqref="B8" xr:uid="{00000000-0002-0000-0100-000001000000}">
      <formula1>1</formula1>
      <formula2>31</formula2>
    </dataValidation>
    <dataValidation type="whole" allowBlank="1" showErrorMessage="1" errorTitle="Check input" error="Enter a value within the stated range." sqref="B14 B18:B19" xr:uid="{00000000-0002-0000-0100-000002000000}">
      <formula1>0</formula1>
      <formula2>1</formula2>
    </dataValidation>
    <dataValidation type="decimal" allowBlank="1" showErrorMessage="1" errorTitle="Check input" error="Enter a value within the stated range." sqref="B15:B17 B20 B22:B23" xr:uid="{00000000-0002-0000-0100-000003000000}">
      <formula1>0</formula1>
      <formula2>1</formula2>
    </dataValidation>
    <dataValidation type="whole" allowBlank="1" showErrorMessage="1" errorTitle="Check input" error="Enter a value within the stated range." sqref="B21" xr:uid="{00000000-0002-0000-0100-000004000000}">
      <formula1>1</formula1>
      <formula2>53</formula2>
    </dataValidation>
    <dataValidation type="decimal" allowBlank="1" showErrorMessage="1" errorTitle="Check input" error="Enter a value within the stated range." sqref="B5 B9:B13 B24:B26" xr:uid="{00000000-0002-0000-0100-000005000000}">
      <formula1>0</formula1>
      <formula2>100000000</formula2>
    </dataValidation>
  </dataValidations>
  <pageMargins left="0.3" right="0.3" top="0.4" bottom="0.4" header="0.2" footer="0.2"/>
  <pageSetup scale="69" orientation="landscape" r:id="rId1"/>
  <headerFooter>
    <oddFooter>&amp;CGroundwell Press | 1.0 |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C26"/>
  <sheetViews>
    <sheetView showGridLines="0" workbookViewId="0">
      <pane ySplit="4" topLeftCell="A5" activePane="bottomLeft" state="frozen"/>
      <selection pane="bottomLeft" sqref="A1:C1"/>
    </sheetView>
  </sheetViews>
  <sheetFormatPr defaultRowHeight="15" x14ac:dyDescent="0.25"/>
  <cols>
    <col min="1" max="1" width="44" style="2" customWidth="1"/>
    <col min="2" max="2" width="30" style="2" customWidth="1"/>
    <col min="3" max="3" width="65" style="2" customWidth="1"/>
    <col min="4" max="8" width="18" style="2" customWidth="1"/>
    <col min="9" max="16384" width="9.140625" style="2"/>
  </cols>
  <sheetData>
    <row r="1" spans="1:3" ht="36" customHeight="1" x14ac:dyDescent="0.25">
      <c r="A1" s="3" t="s">
        <v>46</v>
      </c>
      <c r="B1" s="1"/>
      <c r="C1" s="1"/>
    </row>
    <row r="2" spans="1:3" ht="36" customHeight="1" x14ac:dyDescent="0.25">
      <c r="A2" s="1" t="s">
        <v>47</v>
      </c>
      <c r="B2" s="1"/>
      <c r="C2" s="1"/>
    </row>
    <row r="5" spans="1:3" ht="27.95" customHeight="1" x14ac:dyDescent="0.25">
      <c r="A5" s="2" t="s">
        <v>48</v>
      </c>
      <c r="B5" s="9">
        <f>IFERROR(IF(AND(AND(ISNUMBER(Inputs!B9),Inputs!B9&gt;=0),AND(Inputs!B36="OK",COUNT(Payroll!E5:E56)=52),B16="Within selected year"),Inputs!B9+SUM(Payroll!E5:E56),"PENDING"),"PENDING")</f>
        <v>4800.0000000000009</v>
      </c>
      <c r="C5" s="2" t="s">
        <v>49</v>
      </c>
    </row>
    <row r="6" spans="1:3" ht="27.95" customHeight="1" x14ac:dyDescent="0.25">
      <c r="A6" s="2" t="s">
        <v>50</v>
      </c>
      <c r="B6" s="9">
        <f>IFERROR(IF(AND(AND(ISNUMBER(Inputs!B12),Inputs!B12&gt;=0),ISNUMBER(B5)),Inputs!B12-B5,"PENDING LIMIT OR PAY"),"PENDING LIMIT OR PAY")</f>
        <v>19700</v>
      </c>
      <c r="C6" s="2" t="s">
        <v>51</v>
      </c>
    </row>
    <row r="7" spans="1:3" ht="27.95" customHeight="1" x14ac:dyDescent="0.25">
      <c r="A7" s="2" t="s">
        <v>52</v>
      </c>
      <c r="B7" s="9">
        <f>IFERROR(IF(AND(AND(ISNUMBER(Inputs!B11),Inputs!B11&gt;=0),AND(Inputs!B37="OK",SUMPRODUCT(IRA!D5:D16,--ISNUMBER(IRA!B5:B16))=Inputs!B33-Inputs!B32+1,MIN(IRA!B5:B16)&gt;=0)),Inputs!B11+SUMIF(IRA!D5:D16,1,IRA!B5:B16),"PENDING"),"PENDING")</f>
        <v>1200</v>
      </c>
      <c r="C7" s="2" t="s">
        <v>53</v>
      </c>
    </row>
    <row r="8" spans="1:3" ht="27.95" customHeight="1" x14ac:dyDescent="0.25">
      <c r="A8" s="2" t="s">
        <v>54</v>
      </c>
      <c r="B8" s="9">
        <f>IFERROR(IF(AND(AND(ISNUMBER(Inputs!B13),Inputs!B13&gt;=0),ISNUMBER(B7)),Inputs!B13-B7,"PENDING ELIGIBILITY OR IRA"),"PENDING ELIGIBILITY OR IRA")</f>
        <v>6300</v>
      </c>
      <c r="C8" s="2" t="s">
        <v>55</v>
      </c>
    </row>
    <row r="9" spans="1:3" ht="27.95" customHeight="1" x14ac:dyDescent="0.25">
      <c r="A9" s="2" t="s">
        <v>56</v>
      </c>
      <c r="B9" s="9">
        <f>IFERROR(IF(AND(Inputs!B36="OK",COUNT(Payroll!H5:H56)=52),SUM(Payroll!H5:H56),"PENDING MATCH"),"PENDING MATCH")</f>
        <v>2400.0000000000005</v>
      </c>
      <c r="C9" s="2" t="s">
        <v>57</v>
      </c>
    </row>
    <row r="10" spans="1:3" ht="27.95" customHeight="1" x14ac:dyDescent="0.25">
      <c r="A10" s="2" t="s">
        <v>135</v>
      </c>
      <c r="B10" s="9">
        <f>IFERROR(IF(AND(AND(ISNUMBER(Inputs!B10),Inputs!B10&gt;=0),ISNUMBER(B9)),Inputs!B10+B9,"PENDING"),"PENDING")</f>
        <v>2400.0000000000005</v>
      </c>
      <c r="C10" s="2" t="s">
        <v>58</v>
      </c>
    </row>
    <row r="11" spans="1:3" ht="27.95" customHeight="1" x14ac:dyDescent="0.25">
      <c r="A11" s="2" t="s">
        <v>59</v>
      </c>
      <c r="B11" s="9">
        <f>IFERROR(IF(AND(Inputs!B36="OK",COUNT(Payroll!I5:I56)=52),SUM(Payroll!I5:I56),"PENDING VESTING"),"PENDING VESTING")</f>
        <v>2400.0000000000005</v>
      </c>
      <c r="C11" s="2" t="s">
        <v>60</v>
      </c>
    </row>
    <row r="12" spans="1:3" ht="27.95" customHeight="1" x14ac:dyDescent="0.25">
      <c r="A12" s="2" t="s">
        <v>61</v>
      </c>
      <c r="B12" s="9">
        <f>IFERROR(IF(AND(Inputs!B36="OK",COUNT(Payroll!L5:L56)=52),SUM(Payroll!L5:L56),"PENDING MATCH"),"PENDING MATCH")</f>
        <v>0</v>
      </c>
      <c r="C12" s="2" t="s">
        <v>62</v>
      </c>
    </row>
    <row r="13" spans="1:3" ht="27.95" customHeight="1" x14ac:dyDescent="0.25">
      <c r="A13" s="2" t="s">
        <v>63</v>
      </c>
      <c r="B13" s="9">
        <f>IFERROR(IF(AND(Inputs!B18=1,ISNUMBER(Inputs!B19),OR(Inputs!B19=0,Inputs!B19=1)),IF(Inputs!B19=0,0,IF(AND(COUNT(Inputs!B30:B31)=2,MIN(Inputs!B30:B31)&gt;=0,ISNUMBER(Inputs!B9),Inputs!B30&lt;=Inputs!B9,ISNUMBER(B10),COUNT(Payroll!E5:E56)=52,COUNT(Payroll!C5:C56)=52,B16="Within selected year"),MAX(0,MIN(Inputs!B30+SUM(Payroll!E5:E56),(Inputs!B31+SUM(Payroll!C5:C56))*Inputs!B16)*Inputs!B15-B10),"PENDING CURRENT PLAN")),"UNKNOWN TRUE-UP"),"UNKNOWN TRUE-UP")</f>
        <v>0</v>
      </c>
      <c r="C13" s="2" t="s">
        <v>136</v>
      </c>
    </row>
    <row r="14" spans="1:3" ht="27.95" customHeight="1" x14ac:dyDescent="0.25">
      <c r="A14" s="2" t="s">
        <v>64</v>
      </c>
      <c r="B14" s="9">
        <f>IFERROR(IF(AND(B24="Within cash period",COUNT(Payroll!J5:INDEX(Payroll!J5:J56,Inputs!B6))=Inputs!B6,MIN(Payroll!J5:INDEX(Payroll!J5:J56,Inputs!B6))&gt;=0,AND(Inputs!B37="OK",SUMPRODUCT(IRA!D5:D16,--ISNUMBER(IRA!B5:B16))=Inputs!B33-Inputs!B32+1,MIN(IRA!B5:B16)&gt;=0)),SUM(Payroll!J5:INDEX(Payroll!J5:J56,Inputs!B6))+SUMIF(IRA!D5:D16,1,IRA!B5:B16),"PENDING CASH COST"),"PENDING CASH COST")</f>
        <v>5100</v>
      </c>
      <c r="C14" s="2" t="s">
        <v>65</v>
      </c>
    </row>
    <row r="15" spans="1:3" ht="27.95" customHeight="1" x14ac:dyDescent="0.25">
      <c r="A15" s="2" t="s">
        <v>133</v>
      </c>
      <c r="B15" s="9">
        <f>IFERROR(IF(AND(ISNUMBER(B14),AND(ISNUMBER(Inputs!B25),Inputs!B25&gt;=0),Inputs!B37="OK"),Inputs!B25*(Inputs!B33-Inputs!B32+1)+Inputs!B34-B14,"PENDING CASH BUDGET"),"PENDING CASH BUDGET")</f>
        <v>300</v>
      </c>
      <c r="C15" s="2" t="s">
        <v>134</v>
      </c>
    </row>
    <row r="16" spans="1:3" ht="27.95" customHeight="1" x14ac:dyDescent="0.25">
      <c r="A16" s="2" t="s">
        <v>66</v>
      </c>
      <c r="B16" s="9" t="str">
        <f>IFERROR(IF(AND(Inputs!B36="OK",COUNTIF(Payroll!K5:K56,"OK")=Inputs!B6),"Within selected year","FIX PAY DATES"),"FIX PAY DATES")</f>
        <v>Within selected year</v>
      </c>
      <c r="C16" s="2" t="s">
        <v>67</v>
      </c>
    </row>
    <row r="17" spans="1:3" ht="27.95" customHeight="1" x14ac:dyDescent="0.25">
      <c r="A17" s="2" t="s">
        <v>68</v>
      </c>
      <c r="B17" s="9">
        <f>IFERROR(IF(AND(ISNUMBER(Inputs!B5),Inputs!B5&gt;=0),Inputs!B5*0.04,"PENDING"),"PENDING")</f>
        <v>3200</v>
      </c>
      <c r="C17" s="2" t="s">
        <v>69</v>
      </c>
    </row>
    <row r="18" spans="1:3" ht="27.95" customHeight="1" x14ac:dyDescent="0.25">
      <c r="A18" s="2" t="s">
        <v>70</v>
      </c>
      <c r="B18" s="9">
        <f>IFERROR(IF(AND(AND(ISNUMBER(Inputs!B5),Inputs!B5&gt;=0),AND(Inputs!B14=1,AND(ISNUMBER(Inputs!B15),Inputs!B15&gt;=0,Inputs!B15&lt;=10),AND(ISNUMBER(Inputs!B16),Inputs!B16&gt;=0,Inputs!B16&lt;=1))),MIN(Inputs!B5*0.04,Inputs!B5*Inputs!B16)*Inputs!B15,"UNKNOWN MATCH"),"UNKNOWN MATCH")</f>
        <v>1600</v>
      </c>
      <c r="C18" s="2" t="s">
        <v>71</v>
      </c>
    </row>
    <row r="19" spans="1:3" ht="27.95" customHeight="1" x14ac:dyDescent="0.25">
      <c r="A19" s="2" t="s">
        <v>72</v>
      </c>
      <c r="B19" s="9">
        <f>IFERROR(IF(AND(ISNUMBER(Inputs!B5),Inputs!B5&gt;=0),Inputs!B5*0.06,"PENDING"),"PENDING")</f>
        <v>4800</v>
      </c>
      <c r="C19" s="2" t="s">
        <v>73</v>
      </c>
    </row>
    <row r="20" spans="1:3" ht="27.95" customHeight="1" x14ac:dyDescent="0.25">
      <c r="A20" s="2" t="s">
        <v>74</v>
      </c>
      <c r="B20" s="9">
        <f>IFERROR(IF(AND(AND(ISNUMBER(Inputs!B5),Inputs!B5&gt;=0),AND(Inputs!B14=1,AND(ISNUMBER(Inputs!B15),Inputs!B15&gt;=0,Inputs!B15&lt;=10),AND(ISNUMBER(Inputs!B16),Inputs!B16&gt;=0,Inputs!B16&lt;=1))),MIN(Inputs!B5*0.06,Inputs!B5*Inputs!B16)*Inputs!B15,"UNKNOWN MATCH"),"UNKNOWN MATCH")</f>
        <v>2400</v>
      </c>
      <c r="C20" s="2" t="s">
        <v>75</v>
      </c>
    </row>
    <row r="22" spans="1:3" ht="27.95" customHeight="1" x14ac:dyDescent="0.25">
      <c r="A22" s="2" t="s">
        <v>76</v>
      </c>
      <c r="B22" s="2" t="str">
        <f>IFERROR(IF(ISNUMBER(B5),IF(B5&lt;=24500,"No catch-up projected",IF(NOT(ISNUMBER(Inputs!B26)),"CONFIRM PRIOR-YEAR WAGES",IF(Inputs!B26&gt;150000,"CONFIRM ROTH CATCH-UP","CONFIRM PLAN ELIGIBILITY"))),"PENDING"),"PENDING")</f>
        <v>No catch-up projected</v>
      </c>
      <c r="C22" s="2" t="s">
        <v>77</v>
      </c>
    </row>
    <row r="23" spans="1:3" ht="27.95" customHeight="1" x14ac:dyDescent="0.25">
      <c r="A23" s="2" t="s">
        <v>78</v>
      </c>
      <c r="B23" s="2" t="str">
        <f>Inputs!B36</f>
        <v>OK</v>
      </c>
    </row>
    <row r="24" spans="1:3" x14ac:dyDescent="0.25">
      <c r="A24" s="2" t="s">
        <v>132</v>
      </c>
      <c r="B24" s="2" t="str">
        <f>IFERROR(IF(AND(Inputs!B37="OK",Inputs!B36="OK",COUNTIF(Payroll!N5:N56,"OK")=Inputs!B6),"Within cash period","FIX CASH PERIOD"),"FIX CASH PERIOD")</f>
        <v>Within cash period</v>
      </c>
    </row>
    <row r="26" spans="1:3" ht="27.95" customHeight="1" x14ac:dyDescent="0.25">
      <c r="A26" s="1" t="s">
        <v>79</v>
      </c>
      <c r="B26" s="1"/>
      <c r="C26" s="1"/>
    </row>
  </sheetData>
  <sheetProtection sheet="1" objects="1" scenarios="1"/>
  <mergeCells count="3">
    <mergeCell ref="A1:C1"/>
    <mergeCell ref="A2:C2"/>
    <mergeCell ref="A26:C26"/>
  </mergeCells>
  <pageMargins left="0.3" right="0.3" top="0.4" bottom="0.4" header="0.2" footer="0.2"/>
  <pageSetup scale="84" orientation="landscape" r:id="rId1"/>
  <headerFooter>
    <oddFooter>&amp;CGroundwell Press | 1.0 | &amp;P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56"/>
  <sheetViews>
    <sheetView showGridLines="0" workbookViewId="0">
      <pane ySplit="4" topLeftCell="A5" activePane="bottomLeft" state="frozen"/>
      <selection pane="bottomLeft" sqref="A1:L1"/>
    </sheetView>
  </sheetViews>
  <sheetFormatPr defaultRowHeight="15" x14ac:dyDescent="0.25"/>
  <cols>
    <col min="1" max="1" width="8" style="2" customWidth="1"/>
    <col min="2" max="2" width="16" style="2" customWidth="1"/>
    <col min="3" max="3" width="17" style="2" customWidth="1"/>
    <col min="4" max="4" width="15" style="2" customWidth="1"/>
    <col min="5" max="10" width="17" style="2" customWidth="1"/>
    <col min="11" max="12" width="20" style="2" customWidth="1"/>
    <col min="13" max="13" width="12.7109375" style="2" customWidth="1"/>
    <col min="14" max="14" width="20.7109375" style="2" customWidth="1"/>
    <col min="15" max="16384" width="9.140625" style="2"/>
  </cols>
  <sheetData>
    <row r="1" spans="1:14" ht="36" customHeight="1" x14ac:dyDescent="0.25">
      <c r="A1" s="3" t="s">
        <v>80</v>
      </c>
      <c r="B1" s="1"/>
      <c r="C1" s="1"/>
      <c r="D1" s="1"/>
      <c r="E1" s="1"/>
      <c r="F1" s="1"/>
      <c r="G1" s="1"/>
      <c r="H1" s="1"/>
      <c r="I1" s="1"/>
      <c r="J1" s="1"/>
      <c r="K1" s="1"/>
      <c r="L1" s="1"/>
    </row>
    <row r="2" spans="1:14" ht="36" customHeight="1" x14ac:dyDescent="0.25">
      <c r="A2" s="1" t="s">
        <v>81</v>
      </c>
      <c r="B2" s="1"/>
      <c r="C2" s="1"/>
      <c r="D2" s="1"/>
      <c r="E2" s="1"/>
      <c r="F2" s="1"/>
      <c r="G2" s="1"/>
      <c r="H2" s="1"/>
      <c r="I2" s="1"/>
      <c r="J2" s="1"/>
      <c r="K2" s="1"/>
      <c r="L2" s="1"/>
    </row>
    <row r="4" spans="1:14" ht="36" customHeight="1" x14ac:dyDescent="0.25">
      <c r="A4" s="10" t="s">
        <v>82</v>
      </c>
      <c r="B4" s="10" t="s">
        <v>83</v>
      </c>
      <c r="C4" s="10" t="s">
        <v>84</v>
      </c>
      <c r="D4" s="10" t="s">
        <v>85</v>
      </c>
      <c r="E4" s="10" t="s">
        <v>86</v>
      </c>
      <c r="F4" s="10" t="s">
        <v>87</v>
      </c>
      <c r="G4" s="10" t="s">
        <v>88</v>
      </c>
      <c r="H4" s="10" t="s">
        <v>89</v>
      </c>
      <c r="I4" s="10" t="s">
        <v>90</v>
      </c>
      <c r="J4" s="10" t="s">
        <v>91</v>
      </c>
      <c r="K4" s="10" t="s">
        <v>92</v>
      </c>
      <c r="L4" s="10" t="s">
        <v>93</v>
      </c>
      <c r="M4" s="30" t="s">
        <v>96</v>
      </c>
      <c r="N4" s="30" t="s">
        <v>131</v>
      </c>
    </row>
    <row r="5" spans="1:14" ht="27.95" customHeight="1" x14ac:dyDescent="0.25">
      <c r="A5" s="2">
        <v>1</v>
      </c>
      <c r="B5" s="6">
        <f>IFERROR(IF(AND(Inputs!$B$36="OK",COUNT(Inputs!$B$7:$B$8)=2,Inputs!$B$7&gt;0,Inputs!$B$8&gt;=1),IF(A5&lt;=Inputs!$B$6,Inputs!$B$7+(A5-1)*Inputs!$B$8,""),"PENDING"),"PENDING")</f>
        <v>46031</v>
      </c>
      <c r="C5" s="5">
        <f>IFERROR(IF(Inputs!$B$36="OK",IF(A5&lt;=Inputs!$B$6,IF(AND(ISNUMBER(Inputs!$B$5),Inputs!$B$5&gt;=0),Inputs!$B$5/Inputs!$B$27,"PENDING"),0),"PENDING"),"PENDING")</f>
        <v>3076.9230769230771</v>
      </c>
      <c r="D5" s="11">
        <f>IFERROR(IF(Inputs!$B$36="OK",IF(A5&lt;=Inputs!$B$6,IF(AND(ISNUMBER(Inputs!$B$21),Inputs!$B$21=INT(Inputs!$B$21),Inputs!$B$21&gt;=1,Inputs!$B$21&lt;=53,IF(A5&lt;Inputs!$B$21,ISNUMBER(Inputs!$B$20),ISNUMBER(Inputs!$B$22)),IF(A5&lt;Inputs!$B$21,Inputs!$B$20,Inputs!$B$22)&gt;=0,IF(A5&lt;Inputs!$B$21,Inputs!$B$20,Inputs!$B$22)&lt;=1),IF(A5&lt;Inputs!$B$21,Inputs!$B$20,Inputs!$B$22),"PENDING"),0),"PENDING"),"PENDING")</f>
        <v>0.06</v>
      </c>
      <c r="E5" s="9">
        <f>IFERROR(IF(Inputs!$B$36="OK",IF(A5&lt;=Inputs!$B$6,IF(AND(AND(ISNUMBER(C5),C5&gt;=0),AND(ISNUMBER(D5),D5&gt;=0,D5&lt;=1)),C5*D5,"PENDING"),0),"PENDING"),"PENDING")</f>
        <v>184.61538461538461</v>
      </c>
      <c r="F5" s="9">
        <f>IFERROR(IF(Inputs!$B$36="OK",IF(A5&lt;=Inputs!$B$6,IF(AND(ISNUMBER(E5),AND(ISNUMBER(Inputs!$B$23),Inputs!$B$23&gt;=0,Inputs!$B$23&lt;=1)),E5*(1-Inputs!$B$23),"PENDING"),0),"PENDING"),"PENDING")</f>
        <v>184.61538461538461</v>
      </c>
      <c r="G5" s="9">
        <f>IFERROR(IF(Inputs!$B$36="OK",IF(A5&lt;=Inputs!$B$6,IF(AND(ISNUMBER(E5),AND(ISNUMBER(Inputs!$B$23),Inputs!$B$23&gt;=0,Inputs!$B$23&lt;=1)),E5*Inputs!$B$23,"PENDING"),0),"PENDING"),"PENDING")</f>
        <v>0</v>
      </c>
      <c r="H5" s="9">
        <f>IFERROR(IF(Inputs!$B$36="OK",IF(A5&lt;=Inputs!$B$6,IF(AND(ISNUMBER(E5),ISNUMBER(C5),AND(Inputs!$B$14=1,AND(ISNUMBER(Inputs!$B$15),Inputs!$B$15&gt;=0,Inputs!$B$15&lt;=10),AND(ISNUMBER(Inputs!$B$16),Inputs!$B$16&gt;=0,Inputs!$B$16&lt;=1))),MIN(E5,C5*Inputs!$B$16)*Inputs!$B$15,"UNKNOWN MATCH"),0),"UNKNOWN MATCH"),"UNKNOWN MATCH")</f>
        <v>92.307692307692307</v>
      </c>
      <c r="I5" s="9">
        <f>IFERROR(IF(Inputs!$B$36="OK",IF(A5&lt;=Inputs!$B$6,IF(AND(ISNUMBER(H5),AND(ISNUMBER(Inputs!$B$17),Inputs!$B$17&gt;=0,Inputs!$B$17&lt;=1)),H5*Inputs!$B$17,"UNKNOWN VESTING"),0),"UNKNOWN VESTING"),"UNKNOWN VESTING")</f>
        <v>92.307692307692307</v>
      </c>
      <c r="J5" s="5">
        <v>150</v>
      </c>
      <c r="K5" s="2" t="str">
        <f>IFERROR(IF(Inputs!$B$36="OK",IF(A5&lt;=Inputs!$B$6,IF(AND(ISNUMBER(B5),ISNUMBER(Inputs!$B$4),YEAR(B5)=Inputs!$B$4),"OK","FIX DATE"),""),"PENDING"),"PENDING")</f>
        <v>OK</v>
      </c>
      <c r="L5" s="9">
        <f>IFERROR(IF(Inputs!$B$36="OK",IF(A5&lt;=Inputs!$B$6,IF(ISNUMBER(H5),MAX(0,C5*Inputs!$B$16*Inputs!$B$15-H5),"UNKNOWN MATCH"),0),"UNKNOWN MATCH"),"UNKNOWN MATCH")</f>
        <v>0</v>
      </c>
      <c r="M5" s="28">
        <f>IFERROR(IF(OR(NOT(A5&lt;=Inputs!$B$6),K5="OK"),IF(A5&lt;=Inputs!$B$6,MONTH(B5),0),"PENDING"),"PENDING")</f>
        <v>1</v>
      </c>
      <c r="N5" s="28" t="str">
        <f>IFERROR(IF(Inputs!$B$36="OK",IF(A5&lt;=Inputs!$B$6,IF(AND(K5="OK",Inputs!$B$37="OK",M5&gt;=Inputs!$B$32,M5&lt;=Inputs!$B$33),"OK","FIX PERIOD"),""),"PENDING"),"PENDING")</f>
        <v>OK</v>
      </c>
    </row>
    <row r="6" spans="1:14" ht="27.95" customHeight="1" x14ac:dyDescent="0.25">
      <c r="A6" s="2">
        <v>2</v>
      </c>
      <c r="B6" s="6">
        <f>IFERROR(IF(AND(Inputs!$B$36="OK",COUNT(Inputs!$B$7:$B$8)=2,Inputs!$B$7&gt;0,Inputs!$B$8&gt;=1),IF(A6&lt;=Inputs!$B$6,Inputs!$B$7+(A6-1)*Inputs!$B$8,""),"PENDING"),"PENDING")</f>
        <v>46045</v>
      </c>
      <c r="C6" s="5">
        <f>IFERROR(IF(Inputs!$B$36="OK",IF(A6&lt;=Inputs!$B$6,IF(AND(ISNUMBER(Inputs!$B$5),Inputs!$B$5&gt;=0),Inputs!$B$5/Inputs!$B$27,"PENDING"),0),"PENDING"),"PENDING")</f>
        <v>3076.9230769230771</v>
      </c>
      <c r="D6" s="11">
        <f>IFERROR(IF(Inputs!$B$36="OK",IF(A6&lt;=Inputs!$B$6,IF(AND(ISNUMBER(Inputs!$B$21),Inputs!$B$21=INT(Inputs!$B$21),Inputs!$B$21&gt;=1,Inputs!$B$21&lt;=53,IF(A6&lt;Inputs!$B$21,ISNUMBER(Inputs!$B$20),ISNUMBER(Inputs!$B$22)),IF(A6&lt;Inputs!$B$21,Inputs!$B$20,Inputs!$B$22)&gt;=0,IF(A6&lt;Inputs!$B$21,Inputs!$B$20,Inputs!$B$22)&lt;=1),IF(A6&lt;Inputs!$B$21,Inputs!$B$20,Inputs!$B$22),"PENDING"),0),"PENDING"),"PENDING")</f>
        <v>0.06</v>
      </c>
      <c r="E6" s="9">
        <f>IFERROR(IF(Inputs!$B$36="OK",IF(A6&lt;=Inputs!$B$6,IF(AND(AND(ISNUMBER(C6),C6&gt;=0),AND(ISNUMBER(D6),D6&gt;=0,D6&lt;=1)),C6*D6,"PENDING"),0),"PENDING"),"PENDING")</f>
        <v>184.61538461538461</v>
      </c>
      <c r="F6" s="9">
        <f>IFERROR(IF(Inputs!$B$36="OK",IF(A6&lt;=Inputs!$B$6,IF(AND(ISNUMBER(E6),AND(ISNUMBER(Inputs!$B$23),Inputs!$B$23&gt;=0,Inputs!$B$23&lt;=1)),E6*(1-Inputs!$B$23),"PENDING"),0),"PENDING"),"PENDING")</f>
        <v>184.61538461538461</v>
      </c>
      <c r="G6" s="9">
        <f>IFERROR(IF(Inputs!$B$36="OK",IF(A6&lt;=Inputs!$B$6,IF(AND(ISNUMBER(E6),AND(ISNUMBER(Inputs!$B$23),Inputs!$B$23&gt;=0,Inputs!$B$23&lt;=1)),E6*Inputs!$B$23,"PENDING"),0),"PENDING"),"PENDING")</f>
        <v>0</v>
      </c>
      <c r="H6" s="9">
        <f>IFERROR(IF(Inputs!$B$36="OK",IF(A6&lt;=Inputs!$B$6,IF(AND(ISNUMBER(E6),ISNUMBER(C6),AND(Inputs!$B$14=1,AND(ISNUMBER(Inputs!$B$15),Inputs!$B$15&gt;=0,Inputs!$B$15&lt;=10),AND(ISNUMBER(Inputs!$B$16),Inputs!$B$16&gt;=0,Inputs!$B$16&lt;=1))),MIN(E6,C6*Inputs!$B$16)*Inputs!$B$15,"UNKNOWN MATCH"),0),"UNKNOWN MATCH"),"UNKNOWN MATCH")</f>
        <v>92.307692307692307</v>
      </c>
      <c r="I6" s="9">
        <f>IFERROR(IF(Inputs!$B$36="OK",IF(A6&lt;=Inputs!$B$6,IF(AND(ISNUMBER(H6),AND(ISNUMBER(Inputs!$B$17),Inputs!$B$17&gt;=0,Inputs!$B$17&lt;=1)),H6*Inputs!$B$17,"UNKNOWN VESTING"),0),"UNKNOWN VESTING"),"UNKNOWN VESTING")</f>
        <v>92.307692307692307</v>
      </c>
      <c r="J6" s="5">
        <v>150</v>
      </c>
      <c r="K6" s="2" t="str">
        <f>IFERROR(IF(Inputs!$B$36="OK",IF(A6&lt;=Inputs!$B$6,IF(AND(ISNUMBER(B6),ISNUMBER(Inputs!$B$4),YEAR(B6)=Inputs!$B$4),"OK","FIX DATE"),""),"PENDING"),"PENDING")</f>
        <v>OK</v>
      </c>
      <c r="L6" s="9">
        <f>IFERROR(IF(Inputs!$B$36="OK",IF(A6&lt;=Inputs!$B$6,IF(ISNUMBER(H6),MAX(0,C6*Inputs!$B$16*Inputs!$B$15-H6),"UNKNOWN MATCH"),0),"UNKNOWN MATCH"),"UNKNOWN MATCH")</f>
        <v>0</v>
      </c>
      <c r="M6" s="28">
        <f>IFERROR(IF(OR(NOT(A6&lt;=Inputs!$B$6),K6="OK"),IF(A6&lt;=Inputs!$B$6,MONTH(B6),0),"PENDING"),"PENDING")</f>
        <v>1</v>
      </c>
      <c r="N6" s="28" t="str">
        <f>IFERROR(IF(Inputs!$B$36="OK",IF(A6&lt;=Inputs!$B$6,IF(AND(K6="OK",Inputs!$B$37="OK",M6&gt;=Inputs!$B$32,M6&lt;=Inputs!$B$33),"OK","FIX PERIOD"),""),"PENDING"),"PENDING")</f>
        <v>OK</v>
      </c>
    </row>
    <row r="7" spans="1:14" ht="27.95" customHeight="1" x14ac:dyDescent="0.25">
      <c r="A7" s="2">
        <v>3</v>
      </c>
      <c r="B7" s="6">
        <f>IFERROR(IF(AND(Inputs!$B$36="OK",COUNT(Inputs!$B$7:$B$8)=2,Inputs!$B$7&gt;0,Inputs!$B$8&gt;=1),IF(A7&lt;=Inputs!$B$6,Inputs!$B$7+(A7-1)*Inputs!$B$8,""),"PENDING"),"PENDING")</f>
        <v>46059</v>
      </c>
      <c r="C7" s="5">
        <f>IFERROR(IF(Inputs!$B$36="OK",IF(A7&lt;=Inputs!$B$6,IF(AND(ISNUMBER(Inputs!$B$5),Inputs!$B$5&gt;=0),Inputs!$B$5/Inputs!$B$27,"PENDING"),0),"PENDING"),"PENDING")</f>
        <v>3076.9230769230771</v>
      </c>
      <c r="D7" s="11">
        <f>IFERROR(IF(Inputs!$B$36="OK",IF(A7&lt;=Inputs!$B$6,IF(AND(ISNUMBER(Inputs!$B$21),Inputs!$B$21=INT(Inputs!$B$21),Inputs!$B$21&gt;=1,Inputs!$B$21&lt;=53,IF(A7&lt;Inputs!$B$21,ISNUMBER(Inputs!$B$20),ISNUMBER(Inputs!$B$22)),IF(A7&lt;Inputs!$B$21,Inputs!$B$20,Inputs!$B$22)&gt;=0,IF(A7&lt;Inputs!$B$21,Inputs!$B$20,Inputs!$B$22)&lt;=1),IF(A7&lt;Inputs!$B$21,Inputs!$B$20,Inputs!$B$22),"PENDING"),0),"PENDING"),"PENDING")</f>
        <v>0.06</v>
      </c>
      <c r="E7" s="9">
        <f>IFERROR(IF(Inputs!$B$36="OK",IF(A7&lt;=Inputs!$B$6,IF(AND(AND(ISNUMBER(C7),C7&gt;=0),AND(ISNUMBER(D7),D7&gt;=0,D7&lt;=1)),C7*D7,"PENDING"),0),"PENDING"),"PENDING")</f>
        <v>184.61538461538461</v>
      </c>
      <c r="F7" s="9">
        <f>IFERROR(IF(Inputs!$B$36="OK",IF(A7&lt;=Inputs!$B$6,IF(AND(ISNUMBER(E7),AND(ISNUMBER(Inputs!$B$23),Inputs!$B$23&gt;=0,Inputs!$B$23&lt;=1)),E7*(1-Inputs!$B$23),"PENDING"),0),"PENDING"),"PENDING")</f>
        <v>184.61538461538461</v>
      </c>
      <c r="G7" s="9">
        <f>IFERROR(IF(Inputs!$B$36="OK",IF(A7&lt;=Inputs!$B$6,IF(AND(ISNUMBER(E7),AND(ISNUMBER(Inputs!$B$23),Inputs!$B$23&gt;=0,Inputs!$B$23&lt;=1)),E7*Inputs!$B$23,"PENDING"),0),"PENDING"),"PENDING")</f>
        <v>0</v>
      </c>
      <c r="H7" s="9">
        <f>IFERROR(IF(Inputs!$B$36="OK",IF(A7&lt;=Inputs!$B$6,IF(AND(ISNUMBER(E7),ISNUMBER(C7),AND(Inputs!$B$14=1,AND(ISNUMBER(Inputs!$B$15),Inputs!$B$15&gt;=0,Inputs!$B$15&lt;=10),AND(ISNUMBER(Inputs!$B$16),Inputs!$B$16&gt;=0,Inputs!$B$16&lt;=1))),MIN(E7,C7*Inputs!$B$16)*Inputs!$B$15,"UNKNOWN MATCH"),0),"UNKNOWN MATCH"),"UNKNOWN MATCH")</f>
        <v>92.307692307692307</v>
      </c>
      <c r="I7" s="9">
        <f>IFERROR(IF(Inputs!$B$36="OK",IF(A7&lt;=Inputs!$B$6,IF(AND(ISNUMBER(H7),AND(ISNUMBER(Inputs!$B$17),Inputs!$B$17&gt;=0,Inputs!$B$17&lt;=1)),H7*Inputs!$B$17,"UNKNOWN VESTING"),0),"UNKNOWN VESTING"),"UNKNOWN VESTING")</f>
        <v>92.307692307692307</v>
      </c>
      <c r="J7" s="5">
        <v>150</v>
      </c>
      <c r="K7" s="2" t="str">
        <f>IFERROR(IF(Inputs!$B$36="OK",IF(A7&lt;=Inputs!$B$6,IF(AND(ISNUMBER(B7),ISNUMBER(Inputs!$B$4),YEAR(B7)=Inputs!$B$4),"OK","FIX DATE"),""),"PENDING"),"PENDING")</f>
        <v>OK</v>
      </c>
      <c r="L7" s="9">
        <f>IFERROR(IF(Inputs!$B$36="OK",IF(A7&lt;=Inputs!$B$6,IF(ISNUMBER(H7),MAX(0,C7*Inputs!$B$16*Inputs!$B$15-H7),"UNKNOWN MATCH"),0),"UNKNOWN MATCH"),"UNKNOWN MATCH")</f>
        <v>0</v>
      </c>
      <c r="M7" s="28">
        <f>IFERROR(IF(OR(NOT(A7&lt;=Inputs!$B$6),K7="OK"),IF(A7&lt;=Inputs!$B$6,MONTH(B7),0),"PENDING"),"PENDING")</f>
        <v>2</v>
      </c>
      <c r="N7" s="28" t="str">
        <f>IFERROR(IF(Inputs!$B$36="OK",IF(A7&lt;=Inputs!$B$6,IF(AND(K7="OK",Inputs!$B$37="OK",M7&gt;=Inputs!$B$32,M7&lt;=Inputs!$B$33),"OK","FIX PERIOD"),""),"PENDING"),"PENDING")</f>
        <v>OK</v>
      </c>
    </row>
    <row r="8" spans="1:14" ht="27.95" customHeight="1" x14ac:dyDescent="0.25">
      <c r="A8" s="2">
        <v>4</v>
      </c>
      <c r="B8" s="6">
        <f>IFERROR(IF(AND(Inputs!$B$36="OK",COUNT(Inputs!$B$7:$B$8)=2,Inputs!$B$7&gt;0,Inputs!$B$8&gt;=1),IF(A8&lt;=Inputs!$B$6,Inputs!$B$7+(A8-1)*Inputs!$B$8,""),"PENDING"),"PENDING")</f>
        <v>46073</v>
      </c>
      <c r="C8" s="5">
        <f>IFERROR(IF(Inputs!$B$36="OK",IF(A8&lt;=Inputs!$B$6,IF(AND(ISNUMBER(Inputs!$B$5),Inputs!$B$5&gt;=0),Inputs!$B$5/Inputs!$B$27,"PENDING"),0),"PENDING"),"PENDING")</f>
        <v>3076.9230769230771</v>
      </c>
      <c r="D8" s="11">
        <f>IFERROR(IF(Inputs!$B$36="OK",IF(A8&lt;=Inputs!$B$6,IF(AND(ISNUMBER(Inputs!$B$21),Inputs!$B$21=INT(Inputs!$B$21),Inputs!$B$21&gt;=1,Inputs!$B$21&lt;=53,IF(A8&lt;Inputs!$B$21,ISNUMBER(Inputs!$B$20),ISNUMBER(Inputs!$B$22)),IF(A8&lt;Inputs!$B$21,Inputs!$B$20,Inputs!$B$22)&gt;=0,IF(A8&lt;Inputs!$B$21,Inputs!$B$20,Inputs!$B$22)&lt;=1),IF(A8&lt;Inputs!$B$21,Inputs!$B$20,Inputs!$B$22),"PENDING"),0),"PENDING"),"PENDING")</f>
        <v>0.06</v>
      </c>
      <c r="E8" s="9">
        <f>IFERROR(IF(Inputs!$B$36="OK",IF(A8&lt;=Inputs!$B$6,IF(AND(AND(ISNUMBER(C8),C8&gt;=0),AND(ISNUMBER(D8),D8&gt;=0,D8&lt;=1)),C8*D8,"PENDING"),0),"PENDING"),"PENDING")</f>
        <v>184.61538461538461</v>
      </c>
      <c r="F8" s="9">
        <f>IFERROR(IF(Inputs!$B$36="OK",IF(A8&lt;=Inputs!$B$6,IF(AND(ISNUMBER(E8),AND(ISNUMBER(Inputs!$B$23),Inputs!$B$23&gt;=0,Inputs!$B$23&lt;=1)),E8*(1-Inputs!$B$23),"PENDING"),0),"PENDING"),"PENDING")</f>
        <v>184.61538461538461</v>
      </c>
      <c r="G8" s="9">
        <f>IFERROR(IF(Inputs!$B$36="OK",IF(A8&lt;=Inputs!$B$6,IF(AND(ISNUMBER(E8),AND(ISNUMBER(Inputs!$B$23),Inputs!$B$23&gt;=0,Inputs!$B$23&lt;=1)),E8*Inputs!$B$23,"PENDING"),0),"PENDING"),"PENDING")</f>
        <v>0</v>
      </c>
      <c r="H8" s="9">
        <f>IFERROR(IF(Inputs!$B$36="OK",IF(A8&lt;=Inputs!$B$6,IF(AND(ISNUMBER(E8),ISNUMBER(C8),AND(Inputs!$B$14=1,AND(ISNUMBER(Inputs!$B$15),Inputs!$B$15&gt;=0,Inputs!$B$15&lt;=10),AND(ISNUMBER(Inputs!$B$16),Inputs!$B$16&gt;=0,Inputs!$B$16&lt;=1))),MIN(E8,C8*Inputs!$B$16)*Inputs!$B$15,"UNKNOWN MATCH"),0),"UNKNOWN MATCH"),"UNKNOWN MATCH")</f>
        <v>92.307692307692307</v>
      </c>
      <c r="I8" s="9">
        <f>IFERROR(IF(Inputs!$B$36="OK",IF(A8&lt;=Inputs!$B$6,IF(AND(ISNUMBER(H8),AND(ISNUMBER(Inputs!$B$17),Inputs!$B$17&gt;=0,Inputs!$B$17&lt;=1)),H8*Inputs!$B$17,"UNKNOWN VESTING"),0),"UNKNOWN VESTING"),"UNKNOWN VESTING")</f>
        <v>92.307692307692307</v>
      </c>
      <c r="J8" s="5">
        <v>150</v>
      </c>
      <c r="K8" s="2" t="str">
        <f>IFERROR(IF(Inputs!$B$36="OK",IF(A8&lt;=Inputs!$B$6,IF(AND(ISNUMBER(B8),ISNUMBER(Inputs!$B$4),YEAR(B8)=Inputs!$B$4),"OK","FIX DATE"),""),"PENDING"),"PENDING")</f>
        <v>OK</v>
      </c>
      <c r="L8" s="9">
        <f>IFERROR(IF(Inputs!$B$36="OK",IF(A8&lt;=Inputs!$B$6,IF(ISNUMBER(H8),MAX(0,C8*Inputs!$B$16*Inputs!$B$15-H8),"UNKNOWN MATCH"),0),"UNKNOWN MATCH"),"UNKNOWN MATCH")</f>
        <v>0</v>
      </c>
      <c r="M8" s="28">
        <f>IFERROR(IF(OR(NOT(A8&lt;=Inputs!$B$6),K8="OK"),IF(A8&lt;=Inputs!$B$6,MONTH(B8),0),"PENDING"),"PENDING")</f>
        <v>2</v>
      </c>
      <c r="N8" s="28" t="str">
        <f>IFERROR(IF(Inputs!$B$36="OK",IF(A8&lt;=Inputs!$B$6,IF(AND(K8="OK",Inputs!$B$37="OK",M8&gt;=Inputs!$B$32,M8&lt;=Inputs!$B$33),"OK","FIX PERIOD"),""),"PENDING"),"PENDING")</f>
        <v>OK</v>
      </c>
    </row>
    <row r="9" spans="1:14" ht="27.95" customHeight="1" x14ac:dyDescent="0.25">
      <c r="A9" s="2">
        <v>5</v>
      </c>
      <c r="B9" s="6">
        <f>IFERROR(IF(AND(Inputs!$B$36="OK",COUNT(Inputs!$B$7:$B$8)=2,Inputs!$B$7&gt;0,Inputs!$B$8&gt;=1),IF(A9&lt;=Inputs!$B$6,Inputs!$B$7+(A9-1)*Inputs!$B$8,""),"PENDING"),"PENDING")</f>
        <v>46087</v>
      </c>
      <c r="C9" s="5">
        <f>IFERROR(IF(Inputs!$B$36="OK",IF(A9&lt;=Inputs!$B$6,IF(AND(ISNUMBER(Inputs!$B$5),Inputs!$B$5&gt;=0),Inputs!$B$5/Inputs!$B$27,"PENDING"),0),"PENDING"),"PENDING")</f>
        <v>3076.9230769230771</v>
      </c>
      <c r="D9" s="11">
        <f>IFERROR(IF(Inputs!$B$36="OK",IF(A9&lt;=Inputs!$B$6,IF(AND(ISNUMBER(Inputs!$B$21),Inputs!$B$21=INT(Inputs!$B$21),Inputs!$B$21&gt;=1,Inputs!$B$21&lt;=53,IF(A9&lt;Inputs!$B$21,ISNUMBER(Inputs!$B$20),ISNUMBER(Inputs!$B$22)),IF(A9&lt;Inputs!$B$21,Inputs!$B$20,Inputs!$B$22)&gt;=0,IF(A9&lt;Inputs!$B$21,Inputs!$B$20,Inputs!$B$22)&lt;=1),IF(A9&lt;Inputs!$B$21,Inputs!$B$20,Inputs!$B$22),"PENDING"),0),"PENDING"),"PENDING")</f>
        <v>0.06</v>
      </c>
      <c r="E9" s="9">
        <f>IFERROR(IF(Inputs!$B$36="OK",IF(A9&lt;=Inputs!$B$6,IF(AND(AND(ISNUMBER(C9),C9&gt;=0),AND(ISNUMBER(D9),D9&gt;=0,D9&lt;=1)),C9*D9,"PENDING"),0),"PENDING"),"PENDING")</f>
        <v>184.61538461538461</v>
      </c>
      <c r="F9" s="9">
        <f>IFERROR(IF(Inputs!$B$36="OK",IF(A9&lt;=Inputs!$B$6,IF(AND(ISNUMBER(E9),AND(ISNUMBER(Inputs!$B$23),Inputs!$B$23&gt;=0,Inputs!$B$23&lt;=1)),E9*(1-Inputs!$B$23),"PENDING"),0),"PENDING"),"PENDING")</f>
        <v>184.61538461538461</v>
      </c>
      <c r="G9" s="9">
        <f>IFERROR(IF(Inputs!$B$36="OK",IF(A9&lt;=Inputs!$B$6,IF(AND(ISNUMBER(E9),AND(ISNUMBER(Inputs!$B$23),Inputs!$B$23&gt;=0,Inputs!$B$23&lt;=1)),E9*Inputs!$B$23,"PENDING"),0),"PENDING"),"PENDING")</f>
        <v>0</v>
      </c>
      <c r="H9" s="9">
        <f>IFERROR(IF(Inputs!$B$36="OK",IF(A9&lt;=Inputs!$B$6,IF(AND(ISNUMBER(E9),ISNUMBER(C9),AND(Inputs!$B$14=1,AND(ISNUMBER(Inputs!$B$15),Inputs!$B$15&gt;=0,Inputs!$B$15&lt;=10),AND(ISNUMBER(Inputs!$B$16),Inputs!$B$16&gt;=0,Inputs!$B$16&lt;=1))),MIN(E9,C9*Inputs!$B$16)*Inputs!$B$15,"UNKNOWN MATCH"),0),"UNKNOWN MATCH"),"UNKNOWN MATCH")</f>
        <v>92.307692307692307</v>
      </c>
      <c r="I9" s="9">
        <f>IFERROR(IF(Inputs!$B$36="OK",IF(A9&lt;=Inputs!$B$6,IF(AND(ISNUMBER(H9),AND(ISNUMBER(Inputs!$B$17),Inputs!$B$17&gt;=0,Inputs!$B$17&lt;=1)),H9*Inputs!$B$17,"UNKNOWN VESTING"),0),"UNKNOWN VESTING"),"UNKNOWN VESTING")</f>
        <v>92.307692307692307</v>
      </c>
      <c r="J9" s="5">
        <v>150</v>
      </c>
      <c r="K9" s="2" t="str">
        <f>IFERROR(IF(Inputs!$B$36="OK",IF(A9&lt;=Inputs!$B$6,IF(AND(ISNUMBER(B9),ISNUMBER(Inputs!$B$4),YEAR(B9)=Inputs!$B$4),"OK","FIX DATE"),""),"PENDING"),"PENDING")</f>
        <v>OK</v>
      </c>
      <c r="L9" s="9">
        <f>IFERROR(IF(Inputs!$B$36="OK",IF(A9&lt;=Inputs!$B$6,IF(ISNUMBER(H9),MAX(0,C9*Inputs!$B$16*Inputs!$B$15-H9),"UNKNOWN MATCH"),0),"UNKNOWN MATCH"),"UNKNOWN MATCH")</f>
        <v>0</v>
      </c>
      <c r="M9" s="28">
        <f>IFERROR(IF(OR(NOT(A9&lt;=Inputs!$B$6),K9="OK"),IF(A9&lt;=Inputs!$B$6,MONTH(B9),0),"PENDING"),"PENDING")</f>
        <v>3</v>
      </c>
      <c r="N9" s="28" t="str">
        <f>IFERROR(IF(Inputs!$B$36="OK",IF(A9&lt;=Inputs!$B$6,IF(AND(K9="OK",Inputs!$B$37="OK",M9&gt;=Inputs!$B$32,M9&lt;=Inputs!$B$33),"OK","FIX PERIOD"),""),"PENDING"),"PENDING")</f>
        <v>OK</v>
      </c>
    </row>
    <row r="10" spans="1:14" ht="27.95" customHeight="1" x14ac:dyDescent="0.25">
      <c r="A10" s="2">
        <v>6</v>
      </c>
      <c r="B10" s="6">
        <f>IFERROR(IF(AND(Inputs!$B$36="OK",COUNT(Inputs!$B$7:$B$8)=2,Inputs!$B$7&gt;0,Inputs!$B$8&gt;=1),IF(A10&lt;=Inputs!$B$6,Inputs!$B$7+(A10-1)*Inputs!$B$8,""),"PENDING"),"PENDING")</f>
        <v>46101</v>
      </c>
      <c r="C10" s="5">
        <f>IFERROR(IF(Inputs!$B$36="OK",IF(A10&lt;=Inputs!$B$6,IF(AND(ISNUMBER(Inputs!$B$5),Inputs!$B$5&gt;=0),Inputs!$B$5/Inputs!$B$27,"PENDING"),0),"PENDING"),"PENDING")</f>
        <v>3076.9230769230771</v>
      </c>
      <c r="D10" s="11">
        <f>IFERROR(IF(Inputs!$B$36="OK",IF(A10&lt;=Inputs!$B$6,IF(AND(ISNUMBER(Inputs!$B$21),Inputs!$B$21=INT(Inputs!$B$21),Inputs!$B$21&gt;=1,Inputs!$B$21&lt;=53,IF(A10&lt;Inputs!$B$21,ISNUMBER(Inputs!$B$20),ISNUMBER(Inputs!$B$22)),IF(A10&lt;Inputs!$B$21,Inputs!$B$20,Inputs!$B$22)&gt;=0,IF(A10&lt;Inputs!$B$21,Inputs!$B$20,Inputs!$B$22)&lt;=1),IF(A10&lt;Inputs!$B$21,Inputs!$B$20,Inputs!$B$22),"PENDING"),0),"PENDING"),"PENDING")</f>
        <v>0.06</v>
      </c>
      <c r="E10" s="9">
        <f>IFERROR(IF(Inputs!$B$36="OK",IF(A10&lt;=Inputs!$B$6,IF(AND(AND(ISNUMBER(C10),C10&gt;=0),AND(ISNUMBER(D10),D10&gt;=0,D10&lt;=1)),C10*D10,"PENDING"),0),"PENDING"),"PENDING")</f>
        <v>184.61538461538461</v>
      </c>
      <c r="F10" s="9">
        <f>IFERROR(IF(Inputs!$B$36="OK",IF(A10&lt;=Inputs!$B$6,IF(AND(ISNUMBER(E10),AND(ISNUMBER(Inputs!$B$23),Inputs!$B$23&gt;=0,Inputs!$B$23&lt;=1)),E10*(1-Inputs!$B$23),"PENDING"),0),"PENDING"),"PENDING")</f>
        <v>184.61538461538461</v>
      </c>
      <c r="G10" s="9">
        <f>IFERROR(IF(Inputs!$B$36="OK",IF(A10&lt;=Inputs!$B$6,IF(AND(ISNUMBER(E10),AND(ISNUMBER(Inputs!$B$23),Inputs!$B$23&gt;=0,Inputs!$B$23&lt;=1)),E10*Inputs!$B$23,"PENDING"),0),"PENDING"),"PENDING")</f>
        <v>0</v>
      </c>
      <c r="H10" s="9">
        <f>IFERROR(IF(Inputs!$B$36="OK",IF(A10&lt;=Inputs!$B$6,IF(AND(ISNUMBER(E10),ISNUMBER(C10),AND(Inputs!$B$14=1,AND(ISNUMBER(Inputs!$B$15),Inputs!$B$15&gt;=0,Inputs!$B$15&lt;=10),AND(ISNUMBER(Inputs!$B$16),Inputs!$B$16&gt;=0,Inputs!$B$16&lt;=1))),MIN(E10,C10*Inputs!$B$16)*Inputs!$B$15,"UNKNOWN MATCH"),0),"UNKNOWN MATCH"),"UNKNOWN MATCH")</f>
        <v>92.307692307692307</v>
      </c>
      <c r="I10" s="9">
        <f>IFERROR(IF(Inputs!$B$36="OK",IF(A10&lt;=Inputs!$B$6,IF(AND(ISNUMBER(H10),AND(ISNUMBER(Inputs!$B$17),Inputs!$B$17&gt;=0,Inputs!$B$17&lt;=1)),H10*Inputs!$B$17,"UNKNOWN VESTING"),0),"UNKNOWN VESTING"),"UNKNOWN VESTING")</f>
        <v>92.307692307692307</v>
      </c>
      <c r="J10" s="5">
        <v>150</v>
      </c>
      <c r="K10" s="2" t="str">
        <f>IFERROR(IF(Inputs!$B$36="OK",IF(A10&lt;=Inputs!$B$6,IF(AND(ISNUMBER(B10),ISNUMBER(Inputs!$B$4),YEAR(B10)=Inputs!$B$4),"OK","FIX DATE"),""),"PENDING"),"PENDING")</f>
        <v>OK</v>
      </c>
      <c r="L10" s="9">
        <f>IFERROR(IF(Inputs!$B$36="OK",IF(A10&lt;=Inputs!$B$6,IF(ISNUMBER(H10),MAX(0,C10*Inputs!$B$16*Inputs!$B$15-H10),"UNKNOWN MATCH"),0),"UNKNOWN MATCH"),"UNKNOWN MATCH")</f>
        <v>0</v>
      </c>
      <c r="M10" s="28">
        <f>IFERROR(IF(OR(NOT(A10&lt;=Inputs!$B$6),K10="OK"),IF(A10&lt;=Inputs!$B$6,MONTH(B10),0),"PENDING"),"PENDING")</f>
        <v>3</v>
      </c>
      <c r="N10" s="28" t="str">
        <f>IFERROR(IF(Inputs!$B$36="OK",IF(A10&lt;=Inputs!$B$6,IF(AND(K10="OK",Inputs!$B$37="OK",M10&gt;=Inputs!$B$32,M10&lt;=Inputs!$B$33),"OK","FIX PERIOD"),""),"PENDING"),"PENDING")</f>
        <v>OK</v>
      </c>
    </row>
    <row r="11" spans="1:14" ht="27.95" customHeight="1" x14ac:dyDescent="0.25">
      <c r="A11" s="2">
        <v>7</v>
      </c>
      <c r="B11" s="6">
        <f>IFERROR(IF(AND(Inputs!$B$36="OK",COUNT(Inputs!$B$7:$B$8)=2,Inputs!$B$7&gt;0,Inputs!$B$8&gt;=1),IF(A11&lt;=Inputs!$B$6,Inputs!$B$7+(A11-1)*Inputs!$B$8,""),"PENDING"),"PENDING")</f>
        <v>46115</v>
      </c>
      <c r="C11" s="5">
        <f>IFERROR(IF(Inputs!$B$36="OK",IF(A11&lt;=Inputs!$B$6,IF(AND(ISNUMBER(Inputs!$B$5),Inputs!$B$5&gt;=0),Inputs!$B$5/Inputs!$B$27,"PENDING"),0),"PENDING"),"PENDING")</f>
        <v>3076.9230769230771</v>
      </c>
      <c r="D11" s="11">
        <f>IFERROR(IF(Inputs!$B$36="OK",IF(A11&lt;=Inputs!$B$6,IF(AND(ISNUMBER(Inputs!$B$21),Inputs!$B$21=INT(Inputs!$B$21),Inputs!$B$21&gt;=1,Inputs!$B$21&lt;=53,IF(A11&lt;Inputs!$B$21,ISNUMBER(Inputs!$B$20),ISNUMBER(Inputs!$B$22)),IF(A11&lt;Inputs!$B$21,Inputs!$B$20,Inputs!$B$22)&gt;=0,IF(A11&lt;Inputs!$B$21,Inputs!$B$20,Inputs!$B$22)&lt;=1),IF(A11&lt;Inputs!$B$21,Inputs!$B$20,Inputs!$B$22),"PENDING"),0),"PENDING"),"PENDING")</f>
        <v>0.06</v>
      </c>
      <c r="E11" s="9">
        <f>IFERROR(IF(Inputs!$B$36="OK",IF(A11&lt;=Inputs!$B$6,IF(AND(AND(ISNUMBER(C11),C11&gt;=0),AND(ISNUMBER(D11),D11&gt;=0,D11&lt;=1)),C11*D11,"PENDING"),0),"PENDING"),"PENDING")</f>
        <v>184.61538461538461</v>
      </c>
      <c r="F11" s="9">
        <f>IFERROR(IF(Inputs!$B$36="OK",IF(A11&lt;=Inputs!$B$6,IF(AND(ISNUMBER(E11),AND(ISNUMBER(Inputs!$B$23),Inputs!$B$23&gt;=0,Inputs!$B$23&lt;=1)),E11*(1-Inputs!$B$23),"PENDING"),0),"PENDING"),"PENDING")</f>
        <v>184.61538461538461</v>
      </c>
      <c r="G11" s="9">
        <f>IFERROR(IF(Inputs!$B$36="OK",IF(A11&lt;=Inputs!$B$6,IF(AND(ISNUMBER(E11),AND(ISNUMBER(Inputs!$B$23),Inputs!$B$23&gt;=0,Inputs!$B$23&lt;=1)),E11*Inputs!$B$23,"PENDING"),0),"PENDING"),"PENDING")</f>
        <v>0</v>
      </c>
      <c r="H11" s="9">
        <f>IFERROR(IF(Inputs!$B$36="OK",IF(A11&lt;=Inputs!$B$6,IF(AND(ISNUMBER(E11),ISNUMBER(C11),AND(Inputs!$B$14=1,AND(ISNUMBER(Inputs!$B$15),Inputs!$B$15&gt;=0,Inputs!$B$15&lt;=10),AND(ISNUMBER(Inputs!$B$16),Inputs!$B$16&gt;=0,Inputs!$B$16&lt;=1))),MIN(E11,C11*Inputs!$B$16)*Inputs!$B$15,"UNKNOWN MATCH"),0),"UNKNOWN MATCH"),"UNKNOWN MATCH")</f>
        <v>92.307692307692307</v>
      </c>
      <c r="I11" s="9">
        <f>IFERROR(IF(Inputs!$B$36="OK",IF(A11&lt;=Inputs!$B$6,IF(AND(ISNUMBER(H11),AND(ISNUMBER(Inputs!$B$17),Inputs!$B$17&gt;=0,Inputs!$B$17&lt;=1)),H11*Inputs!$B$17,"UNKNOWN VESTING"),0),"UNKNOWN VESTING"),"UNKNOWN VESTING")</f>
        <v>92.307692307692307</v>
      </c>
      <c r="J11" s="5">
        <v>150</v>
      </c>
      <c r="K11" s="2" t="str">
        <f>IFERROR(IF(Inputs!$B$36="OK",IF(A11&lt;=Inputs!$B$6,IF(AND(ISNUMBER(B11),ISNUMBER(Inputs!$B$4),YEAR(B11)=Inputs!$B$4),"OK","FIX DATE"),""),"PENDING"),"PENDING")</f>
        <v>OK</v>
      </c>
      <c r="L11" s="9">
        <f>IFERROR(IF(Inputs!$B$36="OK",IF(A11&lt;=Inputs!$B$6,IF(ISNUMBER(H11),MAX(0,C11*Inputs!$B$16*Inputs!$B$15-H11),"UNKNOWN MATCH"),0),"UNKNOWN MATCH"),"UNKNOWN MATCH")</f>
        <v>0</v>
      </c>
      <c r="M11" s="28">
        <f>IFERROR(IF(OR(NOT(A11&lt;=Inputs!$B$6),K11="OK"),IF(A11&lt;=Inputs!$B$6,MONTH(B11),0),"PENDING"),"PENDING")</f>
        <v>4</v>
      </c>
      <c r="N11" s="28" t="str">
        <f>IFERROR(IF(Inputs!$B$36="OK",IF(A11&lt;=Inputs!$B$6,IF(AND(K11="OK",Inputs!$B$37="OK",M11&gt;=Inputs!$B$32,M11&lt;=Inputs!$B$33),"OK","FIX PERIOD"),""),"PENDING"),"PENDING")</f>
        <v>OK</v>
      </c>
    </row>
    <row r="12" spans="1:14" ht="27.95" customHeight="1" x14ac:dyDescent="0.25">
      <c r="A12" s="2">
        <v>8</v>
      </c>
      <c r="B12" s="6">
        <f>IFERROR(IF(AND(Inputs!$B$36="OK",COUNT(Inputs!$B$7:$B$8)=2,Inputs!$B$7&gt;0,Inputs!$B$8&gt;=1),IF(A12&lt;=Inputs!$B$6,Inputs!$B$7+(A12-1)*Inputs!$B$8,""),"PENDING"),"PENDING")</f>
        <v>46129</v>
      </c>
      <c r="C12" s="5">
        <f>IFERROR(IF(Inputs!$B$36="OK",IF(A12&lt;=Inputs!$B$6,IF(AND(ISNUMBER(Inputs!$B$5),Inputs!$B$5&gt;=0),Inputs!$B$5/Inputs!$B$27,"PENDING"),0),"PENDING"),"PENDING")</f>
        <v>3076.9230769230771</v>
      </c>
      <c r="D12" s="11">
        <f>IFERROR(IF(Inputs!$B$36="OK",IF(A12&lt;=Inputs!$B$6,IF(AND(ISNUMBER(Inputs!$B$21),Inputs!$B$21=INT(Inputs!$B$21),Inputs!$B$21&gt;=1,Inputs!$B$21&lt;=53,IF(A12&lt;Inputs!$B$21,ISNUMBER(Inputs!$B$20),ISNUMBER(Inputs!$B$22)),IF(A12&lt;Inputs!$B$21,Inputs!$B$20,Inputs!$B$22)&gt;=0,IF(A12&lt;Inputs!$B$21,Inputs!$B$20,Inputs!$B$22)&lt;=1),IF(A12&lt;Inputs!$B$21,Inputs!$B$20,Inputs!$B$22),"PENDING"),0),"PENDING"),"PENDING")</f>
        <v>0.06</v>
      </c>
      <c r="E12" s="9">
        <f>IFERROR(IF(Inputs!$B$36="OK",IF(A12&lt;=Inputs!$B$6,IF(AND(AND(ISNUMBER(C12),C12&gt;=0),AND(ISNUMBER(D12),D12&gt;=0,D12&lt;=1)),C12*D12,"PENDING"),0),"PENDING"),"PENDING")</f>
        <v>184.61538461538461</v>
      </c>
      <c r="F12" s="9">
        <f>IFERROR(IF(Inputs!$B$36="OK",IF(A12&lt;=Inputs!$B$6,IF(AND(ISNUMBER(E12),AND(ISNUMBER(Inputs!$B$23),Inputs!$B$23&gt;=0,Inputs!$B$23&lt;=1)),E12*(1-Inputs!$B$23),"PENDING"),0),"PENDING"),"PENDING")</f>
        <v>184.61538461538461</v>
      </c>
      <c r="G12" s="9">
        <f>IFERROR(IF(Inputs!$B$36="OK",IF(A12&lt;=Inputs!$B$6,IF(AND(ISNUMBER(E12),AND(ISNUMBER(Inputs!$B$23),Inputs!$B$23&gt;=0,Inputs!$B$23&lt;=1)),E12*Inputs!$B$23,"PENDING"),0),"PENDING"),"PENDING")</f>
        <v>0</v>
      </c>
      <c r="H12" s="9">
        <f>IFERROR(IF(Inputs!$B$36="OK",IF(A12&lt;=Inputs!$B$6,IF(AND(ISNUMBER(E12),ISNUMBER(C12),AND(Inputs!$B$14=1,AND(ISNUMBER(Inputs!$B$15),Inputs!$B$15&gt;=0,Inputs!$B$15&lt;=10),AND(ISNUMBER(Inputs!$B$16),Inputs!$B$16&gt;=0,Inputs!$B$16&lt;=1))),MIN(E12,C12*Inputs!$B$16)*Inputs!$B$15,"UNKNOWN MATCH"),0),"UNKNOWN MATCH"),"UNKNOWN MATCH")</f>
        <v>92.307692307692307</v>
      </c>
      <c r="I12" s="9">
        <f>IFERROR(IF(Inputs!$B$36="OK",IF(A12&lt;=Inputs!$B$6,IF(AND(ISNUMBER(H12),AND(ISNUMBER(Inputs!$B$17),Inputs!$B$17&gt;=0,Inputs!$B$17&lt;=1)),H12*Inputs!$B$17,"UNKNOWN VESTING"),0),"UNKNOWN VESTING"),"UNKNOWN VESTING")</f>
        <v>92.307692307692307</v>
      </c>
      <c r="J12" s="5">
        <v>150</v>
      </c>
      <c r="K12" s="2" t="str">
        <f>IFERROR(IF(Inputs!$B$36="OK",IF(A12&lt;=Inputs!$B$6,IF(AND(ISNUMBER(B12),ISNUMBER(Inputs!$B$4),YEAR(B12)=Inputs!$B$4),"OK","FIX DATE"),""),"PENDING"),"PENDING")</f>
        <v>OK</v>
      </c>
      <c r="L12" s="9">
        <f>IFERROR(IF(Inputs!$B$36="OK",IF(A12&lt;=Inputs!$B$6,IF(ISNUMBER(H12),MAX(0,C12*Inputs!$B$16*Inputs!$B$15-H12),"UNKNOWN MATCH"),0),"UNKNOWN MATCH"),"UNKNOWN MATCH")</f>
        <v>0</v>
      </c>
      <c r="M12" s="28">
        <f>IFERROR(IF(OR(NOT(A12&lt;=Inputs!$B$6),K12="OK"),IF(A12&lt;=Inputs!$B$6,MONTH(B12),0),"PENDING"),"PENDING")</f>
        <v>4</v>
      </c>
      <c r="N12" s="28" t="str">
        <f>IFERROR(IF(Inputs!$B$36="OK",IF(A12&lt;=Inputs!$B$6,IF(AND(K12="OK",Inputs!$B$37="OK",M12&gt;=Inputs!$B$32,M12&lt;=Inputs!$B$33),"OK","FIX PERIOD"),""),"PENDING"),"PENDING")</f>
        <v>OK</v>
      </c>
    </row>
    <row r="13" spans="1:14" ht="27.95" customHeight="1" x14ac:dyDescent="0.25">
      <c r="A13" s="2">
        <v>9</v>
      </c>
      <c r="B13" s="6">
        <f>IFERROR(IF(AND(Inputs!$B$36="OK",COUNT(Inputs!$B$7:$B$8)=2,Inputs!$B$7&gt;0,Inputs!$B$8&gt;=1),IF(A13&lt;=Inputs!$B$6,Inputs!$B$7+(A13-1)*Inputs!$B$8,""),"PENDING"),"PENDING")</f>
        <v>46143</v>
      </c>
      <c r="C13" s="5">
        <f>IFERROR(IF(Inputs!$B$36="OK",IF(A13&lt;=Inputs!$B$6,IF(AND(ISNUMBER(Inputs!$B$5),Inputs!$B$5&gt;=0),Inputs!$B$5/Inputs!$B$27,"PENDING"),0),"PENDING"),"PENDING")</f>
        <v>3076.9230769230771</v>
      </c>
      <c r="D13" s="11">
        <f>IFERROR(IF(Inputs!$B$36="OK",IF(A13&lt;=Inputs!$B$6,IF(AND(ISNUMBER(Inputs!$B$21),Inputs!$B$21=INT(Inputs!$B$21),Inputs!$B$21&gt;=1,Inputs!$B$21&lt;=53,IF(A13&lt;Inputs!$B$21,ISNUMBER(Inputs!$B$20),ISNUMBER(Inputs!$B$22)),IF(A13&lt;Inputs!$B$21,Inputs!$B$20,Inputs!$B$22)&gt;=0,IF(A13&lt;Inputs!$B$21,Inputs!$B$20,Inputs!$B$22)&lt;=1),IF(A13&lt;Inputs!$B$21,Inputs!$B$20,Inputs!$B$22),"PENDING"),0),"PENDING"),"PENDING")</f>
        <v>0.06</v>
      </c>
      <c r="E13" s="9">
        <f>IFERROR(IF(Inputs!$B$36="OK",IF(A13&lt;=Inputs!$B$6,IF(AND(AND(ISNUMBER(C13),C13&gt;=0),AND(ISNUMBER(D13),D13&gt;=0,D13&lt;=1)),C13*D13,"PENDING"),0),"PENDING"),"PENDING")</f>
        <v>184.61538461538461</v>
      </c>
      <c r="F13" s="9">
        <f>IFERROR(IF(Inputs!$B$36="OK",IF(A13&lt;=Inputs!$B$6,IF(AND(ISNUMBER(E13),AND(ISNUMBER(Inputs!$B$23),Inputs!$B$23&gt;=0,Inputs!$B$23&lt;=1)),E13*(1-Inputs!$B$23),"PENDING"),0),"PENDING"),"PENDING")</f>
        <v>184.61538461538461</v>
      </c>
      <c r="G13" s="9">
        <f>IFERROR(IF(Inputs!$B$36="OK",IF(A13&lt;=Inputs!$B$6,IF(AND(ISNUMBER(E13),AND(ISNUMBER(Inputs!$B$23),Inputs!$B$23&gt;=0,Inputs!$B$23&lt;=1)),E13*Inputs!$B$23,"PENDING"),0),"PENDING"),"PENDING")</f>
        <v>0</v>
      </c>
      <c r="H13" s="9">
        <f>IFERROR(IF(Inputs!$B$36="OK",IF(A13&lt;=Inputs!$B$6,IF(AND(ISNUMBER(E13),ISNUMBER(C13),AND(Inputs!$B$14=1,AND(ISNUMBER(Inputs!$B$15),Inputs!$B$15&gt;=0,Inputs!$B$15&lt;=10),AND(ISNUMBER(Inputs!$B$16),Inputs!$B$16&gt;=0,Inputs!$B$16&lt;=1))),MIN(E13,C13*Inputs!$B$16)*Inputs!$B$15,"UNKNOWN MATCH"),0),"UNKNOWN MATCH"),"UNKNOWN MATCH")</f>
        <v>92.307692307692307</v>
      </c>
      <c r="I13" s="9">
        <f>IFERROR(IF(Inputs!$B$36="OK",IF(A13&lt;=Inputs!$B$6,IF(AND(ISNUMBER(H13),AND(ISNUMBER(Inputs!$B$17),Inputs!$B$17&gt;=0,Inputs!$B$17&lt;=1)),H13*Inputs!$B$17,"UNKNOWN VESTING"),0),"UNKNOWN VESTING"),"UNKNOWN VESTING")</f>
        <v>92.307692307692307</v>
      </c>
      <c r="J13" s="5">
        <v>150</v>
      </c>
      <c r="K13" s="2" t="str">
        <f>IFERROR(IF(Inputs!$B$36="OK",IF(A13&lt;=Inputs!$B$6,IF(AND(ISNUMBER(B13),ISNUMBER(Inputs!$B$4),YEAR(B13)=Inputs!$B$4),"OK","FIX DATE"),""),"PENDING"),"PENDING")</f>
        <v>OK</v>
      </c>
      <c r="L13" s="9">
        <f>IFERROR(IF(Inputs!$B$36="OK",IF(A13&lt;=Inputs!$B$6,IF(ISNUMBER(H13),MAX(0,C13*Inputs!$B$16*Inputs!$B$15-H13),"UNKNOWN MATCH"),0),"UNKNOWN MATCH"),"UNKNOWN MATCH")</f>
        <v>0</v>
      </c>
      <c r="M13" s="28">
        <f>IFERROR(IF(OR(NOT(A13&lt;=Inputs!$B$6),K13="OK"),IF(A13&lt;=Inputs!$B$6,MONTH(B13),0),"PENDING"),"PENDING")</f>
        <v>5</v>
      </c>
      <c r="N13" s="28" t="str">
        <f>IFERROR(IF(Inputs!$B$36="OK",IF(A13&lt;=Inputs!$B$6,IF(AND(K13="OK",Inputs!$B$37="OK",M13&gt;=Inputs!$B$32,M13&lt;=Inputs!$B$33),"OK","FIX PERIOD"),""),"PENDING"),"PENDING")</f>
        <v>OK</v>
      </c>
    </row>
    <row r="14" spans="1:14" ht="27.95" customHeight="1" x14ac:dyDescent="0.25">
      <c r="A14" s="2">
        <v>10</v>
      </c>
      <c r="B14" s="6">
        <f>IFERROR(IF(AND(Inputs!$B$36="OK",COUNT(Inputs!$B$7:$B$8)=2,Inputs!$B$7&gt;0,Inputs!$B$8&gt;=1),IF(A14&lt;=Inputs!$B$6,Inputs!$B$7+(A14-1)*Inputs!$B$8,""),"PENDING"),"PENDING")</f>
        <v>46157</v>
      </c>
      <c r="C14" s="5">
        <f>IFERROR(IF(Inputs!$B$36="OK",IF(A14&lt;=Inputs!$B$6,IF(AND(ISNUMBER(Inputs!$B$5),Inputs!$B$5&gt;=0),Inputs!$B$5/Inputs!$B$27,"PENDING"),0),"PENDING"),"PENDING")</f>
        <v>3076.9230769230771</v>
      </c>
      <c r="D14" s="11">
        <f>IFERROR(IF(Inputs!$B$36="OK",IF(A14&lt;=Inputs!$B$6,IF(AND(ISNUMBER(Inputs!$B$21),Inputs!$B$21=INT(Inputs!$B$21),Inputs!$B$21&gt;=1,Inputs!$B$21&lt;=53,IF(A14&lt;Inputs!$B$21,ISNUMBER(Inputs!$B$20),ISNUMBER(Inputs!$B$22)),IF(A14&lt;Inputs!$B$21,Inputs!$B$20,Inputs!$B$22)&gt;=0,IF(A14&lt;Inputs!$B$21,Inputs!$B$20,Inputs!$B$22)&lt;=1),IF(A14&lt;Inputs!$B$21,Inputs!$B$20,Inputs!$B$22),"PENDING"),0),"PENDING"),"PENDING")</f>
        <v>0.06</v>
      </c>
      <c r="E14" s="9">
        <f>IFERROR(IF(Inputs!$B$36="OK",IF(A14&lt;=Inputs!$B$6,IF(AND(AND(ISNUMBER(C14),C14&gt;=0),AND(ISNUMBER(D14),D14&gt;=0,D14&lt;=1)),C14*D14,"PENDING"),0),"PENDING"),"PENDING")</f>
        <v>184.61538461538461</v>
      </c>
      <c r="F14" s="9">
        <f>IFERROR(IF(Inputs!$B$36="OK",IF(A14&lt;=Inputs!$B$6,IF(AND(ISNUMBER(E14),AND(ISNUMBER(Inputs!$B$23),Inputs!$B$23&gt;=0,Inputs!$B$23&lt;=1)),E14*(1-Inputs!$B$23),"PENDING"),0),"PENDING"),"PENDING")</f>
        <v>184.61538461538461</v>
      </c>
      <c r="G14" s="9">
        <f>IFERROR(IF(Inputs!$B$36="OK",IF(A14&lt;=Inputs!$B$6,IF(AND(ISNUMBER(E14),AND(ISNUMBER(Inputs!$B$23),Inputs!$B$23&gt;=0,Inputs!$B$23&lt;=1)),E14*Inputs!$B$23,"PENDING"),0),"PENDING"),"PENDING")</f>
        <v>0</v>
      </c>
      <c r="H14" s="9">
        <f>IFERROR(IF(Inputs!$B$36="OK",IF(A14&lt;=Inputs!$B$6,IF(AND(ISNUMBER(E14),ISNUMBER(C14),AND(Inputs!$B$14=1,AND(ISNUMBER(Inputs!$B$15),Inputs!$B$15&gt;=0,Inputs!$B$15&lt;=10),AND(ISNUMBER(Inputs!$B$16),Inputs!$B$16&gt;=0,Inputs!$B$16&lt;=1))),MIN(E14,C14*Inputs!$B$16)*Inputs!$B$15,"UNKNOWN MATCH"),0),"UNKNOWN MATCH"),"UNKNOWN MATCH")</f>
        <v>92.307692307692307</v>
      </c>
      <c r="I14" s="9">
        <f>IFERROR(IF(Inputs!$B$36="OK",IF(A14&lt;=Inputs!$B$6,IF(AND(ISNUMBER(H14),AND(ISNUMBER(Inputs!$B$17),Inputs!$B$17&gt;=0,Inputs!$B$17&lt;=1)),H14*Inputs!$B$17,"UNKNOWN VESTING"),0),"UNKNOWN VESTING"),"UNKNOWN VESTING")</f>
        <v>92.307692307692307</v>
      </c>
      <c r="J14" s="5">
        <v>150</v>
      </c>
      <c r="K14" s="2" t="str">
        <f>IFERROR(IF(Inputs!$B$36="OK",IF(A14&lt;=Inputs!$B$6,IF(AND(ISNUMBER(B14),ISNUMBER(Inputs!$B$4),YEAR(B14)=Inputs!$B$4),"OK","FIX DATE"),""),"PENDING"),"PENDING")</f>
        <v>OK</v>
      </c>
      <c r="L14" s="9">
        <f>IFERROR(IF(Inputs!$B$36="OK",IF(A14&lt;=Inputs!$B$6,IF(ISNUMBER(H14),MAX(0,C14*Inputs!$B$16*Inputs!$B$15-H14),"UNKNOWN MATCH"),0),"UNKNOWN MATCH"),"UNKNOWN MATCH")</f>
        <v>0</v>
      </c>
      <c r="M14" s="28">
        <f>IFERROR(IF(OR(NOT(A14&lt;=Inputs!$B$6),K14="OK"),IF(A14&lt;=Inputs!$B$6,MONTH(B14),0),"PENDING"),"PENDING")</f>
        <v>5</v>
      </c>
      <c r="N14" s="28" t="str">
        <f>IFERROR(IF(Inputs!$B$36="OK",IF(A14&lt;=Inputs!$B$6,IF(AND(K14="OK",Inputs!$B$37="OK",M14&gt;=Inputs!$B$32,M14&lt;=Inputs!$B$33),"OK","FIX PERIOD"),""),"PENDING"),"PENDING")</f>
        <v>OK</v>
      </c>
    </row>
    <row r="15" spans="1:14" ht="27.95" customHeight="1" x14ac:dyDescent="0.25">
      <c r="A15" s="2">
        <v>11</v>
      </c>
      <c r="B15" s="6">
        <f>IFERROR(IF(AND(Inputs!$B$36="OK",COUNT(Inputs!$B$7:$B$8)=2,Inputs!$B$7&gt;0,Inputs!$B$8&gt;=1),IF(A15&lt;=Inputs!$B$6,Inputs!$B$7+(A15-1)*Inputs!$B$8,""),"PENDING"),"PENDING")</f>
        <v>46171</v>
      </c>
      <c r="C15" s="5">
        <f>IFERROR(IF(Inputs!$B$36="OK",IF(A15&lt;=Inputs!$B$6,IF(AND(ISNUMBER(Inputs!$B$5),Inputs!$B$5&gt;=0),Inputs!$B$5/Inputs!$B$27,"PENDING"),0),"PENDING"),"PENDING")</f>
        <v>3076.9230769230771</v>
      </c>
      <c r="D15" s="11">
        <f>IFERROR(IF(Inputs!$B$36="OK",IF(A15&lt;=Inputs!$B$6,IF(AND(ISNUMBER(Inputs!$B$21),Inputs!$B$21=INT(Inputs!$B$21),Inputs!$B$21&gt;=1,Inputs!$B$21&lt;=53,IF(A15&lt;Inputs!$B$21,ISNUMBER(Inputs!$B$20),ISNUMBER(Inputs!$B$22)),IF(A15&lt;Inputs!$B$21,Inputs!$B$20,Inputs!$B$22)&gt;=0,IF(A15&lt;Inputs!$B$21,Inputs!$B$20,Inputs!$B$22)&lt;=1),IF(A15&lt;Inputs!$B$21,Inputs!$B$20,Inputs!$B$22),"PENDING"),0),"PENDING"),"PENDING")</f>
        <v>0.06</v>
      </c>
      <c r="E15" s="9">
        <f>IFERROR(IF(Inputs!$B$36="OK",IF(A15&lt;=Inputs!$B$6,IF(AND(AND(ISNUMBER(C15),C15&gt;=0),AND(ISNUMBER(D15),D15&gt;=0,D15&lt;=1)),C15*D15,"PENDING"),0),"PENDING"),"PENDING")</f>
        <v>184.61538461538461</v>
      </c>
      <c r="F15" s="9">
        <f>IFERROR(IF(Inputs!$B$36="OK",IF(A15&lt;=Inputs!$B$6,IF(AND(ISNUMBER(E15),AND(ISNUMBER(Inputs!$B$23),Inputs!$B$23&gt;=0,Inputs!$B$23&lt;=1)),E15*(1-Inputs!$B$23),"PENDING"),0),"PENDING"),"PENDING")</f>
        <v>184.61538461538461</v>
      </c>
      <c r="G15" s="9">
        <f>IFERROR(IF(Inputs!$B$36="OK",IF(A15&lt;=Inputs!$B$6,IF(AND(ISNUMBER(E15),AND(ISNUMBER(Inputs!$B$23),Inputs!$B$23&gt;=0,Inputs!$B$23&lt;=1)),E15*Inputs!$B$23,"PENDING"),0),"PENDING"),"PENDING")</f>
        <v>0</v>
      </c>
      <c r="H15" s="9">
        <f>IFERROR(IF(Inputs!$B$36="OK",IF(A15&lt;=Inputs!$B$6,IF(AND(ISNUMBER(E15),ISNUMBER(C15),AND(Inputs!$B$14=1,AND(ISNUMBER(Inputs!$B$15),Inputs!$B$15&gt;=0,Inputs!$B$15&lt;=10),AND(ISNUMBER(Inputs!$B$16),Inputs!$B$16&gt;=0,Inputs!$B$16&lt;=1))),MIN(E15,C15*Inputs!$B$16)*Inputs!$B$15,"UNKNOWN MATCH"),0),"UNKNOWN MATCH"),"UNKNOWN MATCH")</f>
        <v>92.307692307692307</v>
      </c>
      <c r="I15" s="9">
        <f>IFERROR(IF(Inputs!$B$36="OK",IF(A15&lt;=Inputs!$B$6,IF(AND(ISNUMBER(H15),AND(ISNUMBER(Inputs!$B$17),Inputs!$B$17&gt;=0,Inputs!$B$17&lt;=1)),H15*Inputs!$B$17,"UNKNOWN VESTING"),0),"UNKNOWN VESTING"),"UNKNOWN VESTING")</f>
        <v>92.307692307692307</v>
      </c>
      <c r="J15" s="5">
        <v>150</v>
      </c>
      <c r="K15" s="2" t="str">
        <f>IFERROR(IF(Inputs!$B$36="OK",IF(A15&lt;=Inputs!$B$6,IF(AND(ISNUMBER(B15),ISNUMBER(Inputs!$B$4),YEAR(B15)=Inputs!$B$4),"OK","FIX DATE"),""),"PENDING"),"PENDING")</f>
        <v>OK</v>
      </c>
      <c r="L15" s="9">
        <f>IFERROR(IF(Inputs!$B$36="OK",IF(A15&lt;=Inputs!$B$6,IF(ISNUMBER(H15),MAX(0,C15*Inputs!$B$16*Inputs!$B$15-H15),"UNKNOWN MATCH"),0),"UNKNOWN MATCH"),"UNKNOWN MATCH")</f>
        <v>0</v>
      </c>
      <c r="M15" s="28">
        <f>IFERROR(IF(OR(NOT(A15&lt;=Inputs!$B$6),K15="OK"),IF(A15&lt;=Inputs!$B$6,MONTH(B15),0),"PENDING"),"PENDING")</f>
        <v>5</v>
      </c>
      <c r="N15" s="28" t="str">
        <f>IFERROR(IF(Inputs!$B$36="OK",IF(A15&lt;=Inputs!$B$6,IF(AND(K15="OK",Inputs!$B$37="OK",M15&gt;=Inputs!$B$32,M15&lt;=Inputs!$B$33),"OK","FIX PERIOD"),""),"PENDING"),"PENDING")</f>
        <v>OK</v>
      </c>
    </row>
    <row r="16" spans="1:14" ht="27.95" customHeight="1" x14ac:dyDescent="0.25">
      <c r="A16" s="2">
        <v>12</v>
      </c>
      <c r="B16" s="6">
        <f>IFERROR(IF(AND(Inputs!$B$36="OK",COUNT(Inputs!$B$7:$B$8)=2,Inputs!$B$7&gt;0,Inputs!$B$8&gt;=1),IF(A16&lt;=Inputs!$B$6,Inputs!$B$7+(A16-1)*Inputs!$B$8,""),"PENDING"),"PENDING")</f>
        <v>46185</v>
      </c>
      <c r="C16" s="5">
        <f>IFERROR(IF(Inputs!$B$36="OK",IF(A16&lt;=Inputs!$B$6,IF(AND(ISNUMBER(Inputs!$B$5),Inputs!$B$5&gt;=0),Inputs!$B$5/Inputs!$B$27,"PENDING"),0),"PENDING"),"PENDING")</f>
        <v>3076.9230769230771</v>
      </c>
      <c r="D16" s="11">
        <f>IFERROR(IF(Inputs!$B$36="OK",IF(A16&lt;=Inputs!$B$6,IF(AND(ISNUMBER(Inputs!$B$21),Inputs!$B$21=INT(Inputs!$B$21),Inputs!$B$21&gt;=1,Inputs!$B$21&lt;=53,IF(A16&lt;Inputs!$B$21,ISNUMBER(Inputs!$B$20),ISNUMBER(Inputs!$B$22)),IF(A16&lt;Inputs!$B$21,Inputs!$B$20,Inputs!$B$22)&gt;=0,IF(A16&lt;Inputs!$B$21,Inputs!$B$20,Inputs!$B$22)&lt;=1),IF(A16&lt;Inputs!$B$21,Inputs!$B$20,Inputs!$B$22),"PENDING"),0),"PENDING"),"PENDING")</f>
        <v>0.06</v>
      </c>
      <c r="E16" s="9">
        <f>IFERROR(IF(Inputs!$B$36="OK",IF(A16&lt;=Inputs!$B$6,IF(AND(AND(ISNUMBER(C16),C16&gt;=0),AND(ISNUMBER(D16),D16&gt;=0,D16&lt;=1)),C16*D16,"PENDING"),0),"PENDING"),"PENDING")</f>
        <v>184.61538461538461</v>
      </c>
      <c r="F16" s="9">
        <f>IFERROR(IF(Inputs!$B$36="OK",IF(A16&lt;=Inputs!$B$6,IF(AND(ISNUMBER(E16),AND(ISNUMBER(Inputs!$B$23),Inputs!$B$23&gt;=0,Inputs!$B$23&lt;=1)),E16*(1-Inputs!$B$23),"PENDING"),0),"PENDING"),"PENDING")</f>
        <v>184.61538461538461</v>
      </c>
      <c r="G16" s="9">
        <f>IFERROR(IF(Inputs!$B$36="OK",IF(A16&lt;=Inputs!$B$6,IF(AND(ISNUMBER(E16),AND(ISNUMBER(Inputs!$B$23),Inputs!$B$23&gt;=0,Inputs!$B$23&lt;=1)),E16*Inputs!$B$23,"PENDING"),0),"PENDING"),"PENDING")</f>
        <v>0</v>
      </c>
      <c r="H16" s="9">
        <f>IFERROR(IF(Inputs!$B$36="OK",IF(A16&lt;=Inputs!$B$6,IF(AND(ISNUMBER(E16),ISNUMBER(C16),AND(Inputs!$B$14=1,AND(ISNUMBER(Inputs!$B$15),Inputs!$B$15&gt;=0,Inputs!$B$15&lt;=10),AND(ISNUMBER(Inputs!$B$16),Inputs!$B$16&gt;=0,Inputs!$B$16&lt;=1))),MIN(E16,C16*Inputs!$B$16)*Inputs!$B$15,"UNKNOWN MATCH"),0),"UNKNOWN MATCH"),"UNKNOWN MATCH")</f>
        <v>92.307692307692307</v>
      </c>
      <c r="I16" s="9">
        <f>IFERROR(IF(Inputs!$B$36="OK",IF(A16&lt;=Inputs!$B$6,IF(AND(ISNUMBER(H16),AND(ISNUMBER(Inputs!$B$17),Inputs!$B$17&gt;=0,Inputs!$B$17&lt;=1)),H16*Inputs!$B$17,"UNKNOWN VESTING"),0),"UNKNOWN VESTING"),"UNKNOWN VESTING")</f>
        <v>92.307692307692307</v>
      </c>
      <c r="J16" s="5">
        <v>150</v>
      </c>
      <c r="K16" s="2" t="str">
        <f>IFERROR(IF(Inputs!$B$36="OK",IF(A16&lt;=Inputs!$B$6,IF(AND(ISNUMBER(B16),ISNUMBER(Inputs!$B$4),YEAR(B16)=Inputs!$B$4),"OK","FIX DATE"),""),"PENDING"),"PENDING")</f>
        <v>OK</v>
      </c>
      <c r="L16" s="9">
        <f>IFERROR(IF(Inputs!$B$36="OK",IF(A16&lt;=Inputs!$B$6,IF(ISNUMBER(H16),MAX(0,C16*Inputs!$B$16*Inputs!$B$15-H16),"UNKNOWN MATCH"),0),"UNKNOWN MATCH"),"UNKNOWN MATCH")</f>
        <v>0</v>
      </c>
      <c r="M16" s="28">
        <f>IFERROR(IF(OR(NOT(A16&lt;=Inputs!$B$6),K16="OK"),IF(A16&lt;=Inputs!$B$6,MONTH(B16),0),"PENDING"),"PENDING")</f>
        <v>6</v>
      </c>
      <c r="N16" s="28" t="str">
        <f>IFERROR(IF(Inputs!$B$36="OK",IF(A16&lt;=Inputs!$B$6,IF(AND(K16="OK",Inputs!$B$37="OK",M16&gt;=Inputs!$B$32,M16&lt;=Inputs!$B$33),"OK","FIX PERIOD"),""),"PENDING"),"PENDING")</f>
        <v>OK</v>
      </c>
    </row>
    <row r="17" spans="1:14" ht="27.95" customHeight="1" x14ac:dyDescent="0.25">
      <c r="A17" s="2">
        <v>13</v>
      </c>
      <c r="B17" s="6">
        <f>IFERROR(IF(AND(Inputs!$B$36="OK",COUNT(Inputs!$B$7:$B$8)=2,Inputs!$B$7&gt;0,Inputs!$B$8&gt;=1),IF(A17&lt;=Inputs!$B$6,Inputs!$B$7+(A17-1)*Inputs!$B$8,""),"PENDING"),"PENDING")</f>
        <v>46199</v>
      </c>
      <c r="C17" s="5">
        <f>IFERROR(IF(Inputs!$B$36="OK",IF(A17&lt;=Inputs!$B$6,IF(AND(ISNUMBER(Inputs!$B$5),Inputs!$B$5&gt;=0),Inputs!$B$5/Inputs!$B$27,"PENDING"),0),"PENDING"),"PENDING")</f>
        <v>3076.9230769230771</v>
      </c>
      <c r="D17" s="11">
        <f>IFERROR(IF(Inputs!$B$36="OK",IF(A17&lt;=Inputs!$B$6,IF(AND(ISNUMBER(Inputs!$B$21),Inputs!$B$21=INT(Inputs!$B$21),Inputs!$B$21&gt;=1,Inputs!$B$21&lt;=53,IF(A17&lt;Inputs!$B$21,ISNUMBER(Inputs!$B$20),ISNUMBER(Inputs!$B$22)),IF(A17&lt;Inputs!$B$21,Inputs!$B$20,Inputs!$B$22)&gt;=0,IF(A17&lt;Inputs!$B$21,Inputs!$B$20,Inputs!$B$22)&lt;=1),IF(A17&lt;Inputs!$B$21,Inputs!$B$20,Inputs!$B$22),"PENDING"),0),"PENDING"),"PENDING")</f>
        <v>0.06</v>
      </c>
      <c r="E17" s="9">
        <f>IFERROR(IF(Inputs!$B$36="OK",IF(A17&lt;=Inputs!$B$6,IF(AND(AND(ISNUMBER(C17),C17&gt;=0),AND(ISNUMBER(D17),D17&gt;=0,D17&lt;=1)),C17*D17,"PENDING"),0),"PENDING"),"PENDING")</f>
        <v>184.61538461538461</v>
      </c>
      <c r="F17" s="9">
        <f>IFERROR(IF(Inputs!$B$36="OK",IF(A17&lt;=Inputs!$B$6,IF(AND(ISNUMBER(E17),AND(ISNUMBER(Inputs!$B$23),Inputs!$B$23&gt;=0,Inputs!$B$23&lt;=1)),E17*(1-Inputs!$B$23),"PENDING"),0),"PENDING"),"PENDING")</f>
        <v>184.61538461538461</v>
      </c>
      <c r="G17" s="9">
        <f>IFERROR(IF(Inputs!$B$36="OK",IF(A17&lt;=Inputs!$B$6,IF(AND(ISNUMBER(E17),AND(ISNUMBER(Inputs!$B$23),Inputs!$B$23&gt;=0,Inputs!$B$23&lt;=1)),E17*Inputs!$B$23,"PENDING"),0),"PENDING"),"PENDING")</f>
        <v>0</v>
      </c>
      <c r="H17" s="9">
        <f>IFERROR(IF(Inputs!$B$36="OK",IF(A17&lt;=Inputs!$B$6,IF(AND(ISNUMBER(E17),ISNUMBER(C17),AND(Inputs!$B$14=1,AND(ISNUMBER(Inputs!$B$15),Inputs!$B$15&gt;=0,Inputs!$B$15&lt;=10),AND(ISNUMBER(Inputs!$B$16),Inputs!$B$16&gt;=0,Inputs!$B$16&lt;=1))),MIN(E17,C17*Inputs!$B$16)*Inputs!$B$15,"UNKNOWN MATCH"),0),"UNKNOWN MATCH"),"UNKNOWN MATCH")</f>
        <v>92.307692307692307</v>
      </c>
      <c r="I17" s="9">
        <f>IFERROR(IF(Inputs!$B$36="OK",IF(A17&lt;=Inputs!$B$6,IF(AND(ISNUMBER(H17),AND(ISNUMBER(Inputs!$B$17),Inputs!$B$17&gt;=0,Inputs!$B$17&lt;=1)),H17*Inputs!$B$17,"UNKNOWN VESTING"),0),"UNKNOWN VESTING"),"UNKNOWN VESTING")</f>
        <v>92.307692307692307</v>
      </c>
      <c r="J17" s="5">
        <v>150</v>
      </c>
      <c r="K17" s="2" t="str">
        <f>IFERROR(IF(Inputs!$B$36="OK",IF(A17&lt;=Inputs!$B$6,IF(AND(ISNUMBER(B17),ISNUMBER(Inputs!$B$4),YEAR(B17)=Inputs!$B$4),"OK","FIX DATE"),""),"PENDING"),"PENDING")</f>
        <v>OK</v>
      </c>
      <c r="L17" s="9">
        <f>IFERROR(IF(Inputs!$B$36="OK",IF(A17&lt;=Inputs!$B$6,IF(ISNUMBER(H17),MAX(0,C17*Inputs!$B$16*Inputs!$B$15-H17),"UNKNOWN MATCH"),0),"UNKNOWN MATCH"),"UNKNOWN MATCH")</f>
        <v>0</v>
      </c>
      <c r="M17" s="28">
        <f>IFERROR(IF(OR(NOT(A17&lt;=Inputs!$B$6),K17="OK"),IF(A17&lt;=Inputs!$B$6,MONTH(B17),0),"PENDING"),"PENDING")</f>
        <v>6</v>
      </c>
      <c r="N17" s="28" t="str">
        <f>IFERROR(IF(Inputs!$B$36="OK",IF(A17&lt;=Inputs!$B$6,IF(AND(K17="OK",Inputs!$B$37="OK",M17&gt;=Inputs!$B$32,M17&lt;=Inputs!$B$33),"OK","FIX PERIOD"),""),"PENDING"),"PENDING")</f>
        <v>OK</v>
      </c>
    </row>
    <row r="18" spans="1:14" ht="27.95" customHeight="1" x14ac:dyDescent="0.25">
      <c r="A18" s="2">
        <v>14</v>
      </c>
      <c r="B18" s="6">
        <f>IFERROR(IF(AND(Inputs!$B$36="OK",COUNT(Inputs!$B$7:$B$8)=2,Inputs!$B$7&gt;0,Inputs!$B$8&gt;=1),IF(A18&lt;=Inputs!$B$6,Inputs!$B$7+(A18-1)*Inputs!$B$8,""),"PENDING"),"PENDING")</f>
        <v>46213</v>
      </c>
      <c r="C18" s="5">
        <f>IFERROR(IF(Inputs!$B$36="OK",IF(A18&lt;=Inputs!$B$6,IF(AND(ISNUMBER(Inputs!$B$5),Inputs!$B$5&gt;=0),Inputs!$B$5/Inputs!$B$27,"PENDING"),0),"PENDING"),"PENDING")</f>
        <v>3076.9230769230771</v>
      </c>
      <c r="D18" s="11">
        <f>IFERROR(IF(Inputs!$B$36="OK",IF(A18&lt;=Inputs!$B$6,IF(AND(ISNUMBER(Inputs!$B$21),Inputs!$B$21=INT(Inputs!$B$21),Inputs!$B$21&gt;=1,Inputs!$B$21&lt;=53,IF(A18&lt;Inputs!$B$21,ISNUMBER(Inputs!$B$20),ISNUMBER(Inputs!$B$22)),IF(A18&lt;Inputs!$B$21,Inputs!$B$20,Inputs!$B$22)&gt;=0,IF(A18&lt;Inputs!$B$21,Inputs!$B$20,Inputs!$B$22)&lt;=1),IF(A18&lt;Inputs!$B$21,Inputs!$B$20,Inputs!$B$22),"PENDING"),0),"PENDING"),"PENDING")</f>
        <v>0.06</v>
      </c>
      <c r="E18" s="9">
        <f>IFERROR(IF(Inputs!$B$36="OK",IF(A18&lt;=Inputs!$B$6,IF(AND(AND(ISNUMBER(C18),C18&gt;=0),AND(ISNUMBER(D18),D18&gt;=0,D18&lt;=1)),C18*D18,"PENDING"),0),"PENDING"),"PENDING")</f>
        <v>184.61538461538461</v>
      </c>
      <c r="F18" s="9">
        <f>IFERROR(IF(Inputs!$B$36="OK",IF(A18&lt;=Inputs!$B$6,IF(AND(ISNUMBER(E18),AND(ISNUMBER(Inputs!$B$23),Inputs!$B$23&gt;=0,Inputs!$B$23&lt;=1)),E18*(1-Inputs!$B$23),"PENDING"),0),"PENDING"),"PENDING")</f>
        <v>184.61538461538461</v>
      </c>
      <c r="G18" s="9">
        <f>IFERROR(IF(Inputs!$B$36="OK",IF(A18&lt;=Inputs!$B$6,IF(AND(ISNUMBER(E18),AND(ISNUMBER(Inputs!$B$23),Inputs!$B$23&gt;=0,Inputs!$B$23&lt;=1)),E18*Inputs!$B$23,"PENDING"),0),"PENDING"),"PENDING")</f>
        <v>0</v>
      </c>
      <c r="H18" s="9">
        <f>IFERROR(IF(Inputs!$B$36="OK",IF(A18&lt;=Inputs!$B$6,IF(AND(ISNUMBER(E18),ISNUMBER(C18),AND(Inputs!$B$14=1,AND(ISNUMBER(Inputs!$B$15),Inputs!$B$15&gt;=0,Inputs!$B$15&lt;=10),AND(ISNUMBER(Inputs!$B$16),Inputs!$B$16&gt;=0,Inputs!$B$16&lt;=1))),MIN(E18,C18*Inputs!$B$16)*Inputs!$B$15,"UNKNOWN MATCH"),0),"UNKNOWN MATCH"),"UNKNOWN MATCH")</f>
        <v>92.307692307692307</v>
      </c>
      <c r="I18" s="9">
        <f>IFERROR(IF(Inputs!$B$36="OK",IF(A18&lt;=Inputs!$B$6,IF(AND(ISNUMBER(H18),AND(ISNUMBER(Inputs!$B$17),Inputs!$B$17&gt;=0,Inputs!$B$17&lt;=1)),H18*Inputs!$B$17,"UNKNOWN VESTING"),0),"UNKNOWN VESTING"),"UNKNOWN VESTING")</f>
        <v>92.307692307692307</v>
      </c>
      <c r="J18" s="5">
        <v>150</v>
      </c>
      <c r="K18" s="2" t="str">
        <f>IFERROR(IF(Inputs!$B$36="OK",IF(A18&lt;=Inputs!$B$6,IF(AND(ISNUMBER(B18),ISNUMBER(Inputs!$B$4),YEAR(B18)=Inputs!$B$4),"OK","FIX DATE"),""),"PENDING"),"PENDING")</f>
        <v>OK</v>
      </c>
      <c r="L18" s="9">
        <f>IFERROR(IF(Inputs!$B$36="OK",IF(A18&lt;=Inputs!$B$6,IF(ISNUMBER(H18),MAX(0,C18*Inputs!$B$16*Inputs!$B$15-H18),"UNKNOWN MATCH"),0),"UNKNOWN MATCH"),"UNKNOWN MATCH")</f>
        <v>0</v>
      </c>
      <c r="M18" s="28">
        <f>IFERROR(IF(OR(NOT(A18&lt;=Inputs!$B$6),K18="OK"),IF(A18&lt;=Inputs!$B$6,MONTH(B18),0),"PENDING"),"PENDING")</f>
        <v>7</v>
      </c>
      <c r="N18" s="28" t="str">
        <f>IFERROR(IF(Inputs!$B$36="OK",IF(A18&lt;=Inputs!$B$6,IF(AND(K18="OK",Inputs!$B$37="OK",M18&gt;=Inputs!$B$32,M18&lt;=Inputs!$B$33),"OK","FIX PERIOD"),""),"PENDING"),"PENDING")</f>
        <v>OK</v>
      </c>
    </row>
    <row r="19" spans="1:14" ht="27.95" customHeight="1" x14ac:dyDescent="0.25">
      <c r="A19" s="2">
        <v>15</v>
      </c>
      <c r="B19" s="6">
        <f>IFERROR(IF(AND(Inputs!$B$36="OK",COUNT(Inputs!$B$7:$B$8)=2,Inputs!$B$7&gt;0,Inputs!$B$8&gt;=1),IF(A19&lt;=Inputs!$B$6,Inputs!$B$7+(A19-1)*Inputs!$B$8,""),"PENDING"),"PENDING")</f>
        <v>46227</v>
      </c>
      <c r="C19" s="5">
        <f>IFERROR(IF(Inputs!$B$36="OK",IF(A19&lt;=Inputs!$B$6,IF(AND(ISNUMBER(Inputs!$B$5),Inputs!$B$5&gt;=0),Inputs!$B$5/Inputs!$B$27,"PENDING"),0),"PENDING"),"PENDING")</f>
        <v>3076.9230769230771</v>
      </c>
      <c r="D19" s="11">
        <f>IFERROR(IF(Inputs!$B$36="OK",IF(A19&lt;=Inputs!$B$6,IF(AND(ISNUMBER(Inputs!$B$21),Inputs!$B$21=INT(Inputs!$B$21),Inputs!$B$21&gt;=1,Inputs!$B$21&lt;=53,IF(A19&lt;Inputs!$B$21,ISNUMBER(Inputs!$B$20),ISNUMBER(Inputs!$B$22)),IF(A19&lt;Inputs!$B$21,Inputs!$B$20,Inputs!$B$22)&gt;=0,IF(A19&lt;Inputs!$B$21,Inputs!$B$20,Inputs!$B$22)&lt;=1),IF(A19&lt;Inputs!$B$21,Inputs!$B$20,Inputs!$B$22),"PENDING"),0),"PENDING"),"PENDING")</f>
        <v>0.06</v>
      </c>
      <c r="E19" s="9">
        <f>IFERROR(IF(Inputs!$B$36="OK",IF(A19&lt;=Inputs!$B$6,IF(AND(AND(ISNUMBER(C19),C19&gt;=0),AND(ISNUMBER(D19),D19&gt;=0,D19&lt;=1)),C19*D19,"PENDING"),0),"PENDING"),"PENDING")</f>
        <v>184.61538461538461</v>
      </c>
      <c r="F19" s="9">
        <f>IFERROR(IF(Inputs!$B$36="OK",IF(A19&lt;=Inputs!$B$6,IF(AND(ISNUMBER(E19),AND(ISNUMBER(Inputs!$B$23),Inputs!$B$23&gt;=0,Inputs!$B$23&lt;=1)),E19*(1-Inputs!$B$23),"PENDING"),0),"PENDING"),"PENDING")</f>
        <v>184.61538461538461</v>
      </c>
      <c r="G19" s="9">
        <f>IFERROR(IF(Inputs!$B$36="OK",IF(A19&lt;=Inputs!$B$6,IF(AND(ISNUMBER(E19),AND(ISNUMBER(Inputs!$B$23),Inputs!$B$23&gt;=0,Inputs!$B$23&lt;=1)),E19*Inputs!$B$23,"PENDING"),0),"PENDING"),"PENDING")</f>
        <v>0</v>
      </c>
      <c r="H19" s="9">
        <f>IFERROR(IF(Inputs!$B$36="OK",IF(A19&lt;=Inputs!$B$6,IF(AND(ISNUMBER(E19),ISNUMBER(C19),AND(Inputs!$B$14=1,AND(ISNUMBER(Inputs!$B$15),Inputs!$B$15&gt;=0,Inputs!$B$15&lt;=10),AND(ISNUMBER(Inputs!$B$16),Inputs!$B$16&gt;=0,Inputs!$B$16&lt;=1))),MIN(E19,C19*Inputs!$B$16)*Inputs!$B$15,"UNKNOWN MATCH"),0),"UNKNOWN MATCH"),"UNKNOWN MATCH")</f>
        <v>92.307692307692307</v>
      </c>
      <c r="I19" s="9">
        <f>IFERROR(IF(Inputs!$B$36="OK",IF(A19&lt;=Inputs!$B$6,IF(AND(ISNUMBER(H19),AND(ISNUMBER(Inputs!$B$17),Inputs!$B$17&gt;=0,Inputs!$B$17&lt;=1)),H19*Inputs!$B$17,"UNKNOWN VESTING"),0),"UNKNOWN VESTING"),"UNKNOWN VESTING")</f>
        <v>92.307692307692307</v>
      </c>
      <c r="J19" s="5">
        <v>150</v>
      </c>
      <c r="K19" s="2" t="str">
        <f>IFERROR(IF(Inputs!$B$36="OK",IF(A19&lt;=Inputs!$B$6,IF(AND(ISNUMBER(B19),ISNUMBER(Inputs!$B$4),YEAR(B19)=Inputs!$B$4),"OK","FIX DATE"),""),"PENDING"),"PENDING")</f>
        <v>OK</v>
      </c>
      <c r="L19" s="9">
        <f>IFERROR(IF(Inputs!$B$36="OK",IF(A19&lt;=Inputs!$B$6,IF(ISNUMBER(H19),MAX(0,C19*Inputs!$B$16*Inputs!$B$15-H19),"UNKNOWN MATCH"),0),"UNKNOWN MATCH"),"UNKNOWN MATCH")</f>
        <v>0</v>
      </c>
      <c r="M19" s="28">
        <f>IFERROR(IF(OR(NOT(A19&lt;=Inputs!$B$6),K19="OK"),IF(A19&lt;=Inputs!$B$6,MONTH(B19),0),"PENDING"),"PENDING")</f>
        <v>7</v>
      </c>
      <c r="N19" s="28" t="str">
        <f>IFERROR(IF(Inputs!$B$36="OK",IF(A19&lt;=Inputs!$B$6,IF(AND(K19="OK",Inputs!$B$37="OK",M19&gt;=Inputs!$B$32,M19&lt;=Inputs!$B$33),"OK","FIX PERIOD"),""),"PENDING"),"PENDING")</f>
        <v>OK</v>
      </c>
    </row>
    <row r="20" spans="1:14" ht="27.95" customHeight="1" x14ac:dyDescent="0.25">
      <c r="A20" s="2">
        <v>16</v>
      </c>
      <c r="B20" s="6">
        <f>IFERROR(IF(AND(Inputs!$B$36="OK",COUNT(Inputs!$B$7:$B$8)=2,Inputs!$B$7&gt;0,Inputs!$B$8&gt;=1),IF(A20&lt;=Inputs!$B$6,Inputs!$B$7+(A20-1)*Inputs!$B$8,""),"PENDING"),"PENDING")</f>
        <v>46241</v>
      </c>
      <c r="C20" s="5">
        <f>IFERROR(IF(Inputs!$B$36="OK",IF(A20&lt;=Inputs!$B$6,IF(AND(ISNUMBER(Inputs!$B$5),Inputs!$B$5&gt;=0),Inputs!$B$5/Inputs!$B$27,"PENDING"),0),"PENDING"),"PENDING")</f>
        <v>3076.9230769230771</v>
      </c>
      <c r="D20" s="11">
        <f>IFERROR(IF(Inputs!$B$36="OK",IF(A20&lt;=Inputs!$B$6,IF(AND(ISNUMBER(Inputs!$B$21),Inputs!$B$21=INT(Inputs!$B$21),Inputs!$B$21&gt;=1,Inputs!$B$21&lt;=53,IF(A20&lt;Inputs!$B$21,ISNUMBER(Inputs!$B$20),ISNUMBER(Inputs!$B$22)),IF(A20&lt;Inputs!$B$21,Inputs!$B$20,Inputs!$B$22)&gt;=0,IF(A20&lt;Inputs!$B$21,Inputs!$B$20,Inputs!$B$22)&lt;=1),IF(A20&lt;Inputs!$B$21,Inputs!$B$20,Inputs!$B$22),"PENDING"),0),"PENDING"),"PENDING")</f>
        <v>0.06</v>
      </c>
      <c r="E20" s="9">
        <f>IFERROR(IF(Inputs!$B$36="OK",IF(A20&lt;=Inputs!$B$6,IF(AND(AND(ISNUMBER(C20),C20&gt;=0),AND(ISNUMBER(D20),D20&gt;=0,D20&lt;=1)),C20*D20,"PENDING"),0),"PENDING"),"PENDING")</f>
        <v>184.61538461538461</v>
      </c>
      <c r="F20" s="9">
        <f>IFERROR(IF(Inputs!$B$36="OK",IF(A20&lt;=Inputs!$B$6,IF(AND(ISNUMBER(E20),AND(ISNUMBER(Inputs!$B$23),Inputs!$B$23&gt;=0,Inputs!$B$23&lt;=1)),E20*(1-Inputs!$B$23),"PENDING"),0),"PENDING"),"PENDING")</f>
        <v>184.61538461538461</v>
      </c>
      <c r="G20" s="9">
        <f>IFERROR(IF(Inputs!$B$36="OK",IF(A20&lt;=Inputs!$B$6,IF(AND(ISNUMBER(E20),AND(ISNUMBER(Inputs!$B$23),Inputs!$B$23&gt;=0,Inputs!$B$23&lt;=1)),E20*Inputs!$B$23,"PENDING"),0),"PENDING"),"PENDING")</f>
        <v>0</v>
      </c>
      <c r="H20" s="9">
        <f>IFERROR(IF(Inputs!$B$36="OK",IF(A20&lt;=Inputs!$B$6,IF(AND(ISNUMBER(E20),ISNUMBER(C20),AND(Inputs!$B$14=1,AND(ISNUMBER(Inputs!$B$15),Inputs!$B$15&gt;=0,Inputs!$B$15&lt;=10),AND(ISNUMBER(Inputs!$B$16),Inputs!$B$16&gt;=0,Inputs!$B$16&lt;=1))),MIN(E20,C20*Inputs!$B$16)*Inputs!$B$15,"UNKNOWN MATCH"),0),"UNKNOWN MATCH"),"UNKNOWN MATCH")</f>
        <v>92.307692307692307</v>
      </c>
      <c r="I20" s="9">
        <f>IFERROR(IF(Inputs!$B$36="OK",IF(A20&lt;=Inputs!$B$6,IF(AND(ISNUMBER(H20),AND(ISNUMBER(Inputs!$B$17),Inputs!$B$17&gt;=0,Inputs!$B$17&lt;=1)),H20*Inputs!$B$17,"UNKNOWN VESTING"),0),"UNKNOWN VESTING"),"UNKNOWN VESTING")</f>
        <v>92.307692307692307</v>
      </c>
      <c r="J20" s="5">
        <v>150</v>
      </c>
      <c r="K20" s="2" t="str">
        <f>IFERROR(IF(Inputs!$B$36="OK",IF(A20&lt;=Inputs!$B$6,IF(AND(ISNUMBER(B20),ISNUMBER(Inputs!$B$4),YEAR(B20)=Inputs!$B$4),"OK","FIX DATE"),""),"PENDING"),"PENDING")</f>
        <v>OK</v>
      </c>
      <c r="L20" s="9">
        <f>IFERROR(IF(Inputs!$B$36="OK",IF(A20&lt;=Inputs!$B$6,IF(ISNUMBER(H20),MAX(0,C20*Inputs!$B$16*Inputs!$B$15-H20),"UNKNOWN MATCH"),0),"UNKNOWN MATCH"),"UNKNOWN MATCH")</f>
        <v>0</v>
      </c>
      <c r="M20" s="28">
        <f>IFERROR(IF(OR(NOT(A20&lt;=Inputs!$B$6),K20="OK"),IF(A20&lt;=Inputs!$B$6,MONTH(B20),0),"PENDING"),"PENDING")</f>
        <v>8</v>
      </c>
      <c r="N20" s="28" t="str">
        <f>IFERROR(IF(Inputs!$B$36="OK",IF(A20&lt;=Inputs!$B$6,IF(AND(K20="OK",Inputs!$B$37="OK",M20&gt;=Inputs!$B$32,M20&lt;=Inputs!$B$33),"OK","FIX PERIOD"),""),"PENDING"),"PENDING")</f>
        <v>OK</v>
      </c>
    </row>
    <row r="21" spans="1:14" ht="27.95" customHeight="1" x14ac:dyDescent="0.25">
      <c r="A21" s="2">
        <v>17</v>
      </c>
      <c r="B21" s="6">
        <f>IFERROR(IF(AND(Inputs!$B$36="OK",COUNT(Inputs!$B$7:$B$8)=2,Inputs!$B$7&gt;0,Inputs!$B$8&gt;=1),IF(A21&lt;=Inputs!$B$6,Inputs!$B$7+(A21-1)*Inputs!$B$8,""),"PENDING"),"PENDING")</f>
        <v>46255</v>
      </c>
      <c r="C21" s="5">
        <f>IFERROR(IF(Inputs!$B$36="OK",IF(A21&lt;=Inputs!$B$6,IF(AND(ISNUMBER(Inputs!$B$5),Inputs!$B$5&gt;=0),Inputs!$B$5/Inputs!$B$27,"PENDING"),0),"PENDING"),"PENDING")</f>
        <v>3076.9230769230771</v>
      </c>
      <c r="D21" s="11">
        <f>IFERROR(IF(Inputs!$B$36="OK",IF(A21&lt;=Inputs!$B$6,IF(AND(ISNUMBER(Inputs!$B$21),Inputs!$B$21=INT(Inputs!$B$21),Inputs!$B$21&gt;=1,Inputs!$B$21&lt;=53,IF(A21&lt;Inputs!$B$21,ISNUMBER(Inputs!$B$20),ISNUMBER(Inputs!$B$22)),IF(A21&lt;Inputs!$B$21,Inputs!$B$20,Inputs!$B$22)&gt;=0,IF(A21&lt;Inputs!$B$21,Inputs!$B$20,Inputs!$B$22)&lt;=1),IF(A21&lt;Inputs!$B$21,Inputs!$B$20,Inputs!$B$22),"PENDING"),0),"PENDING"),"PENDING")</f>
        <v>0.06</v>
      </c>
      <c r="E21" s="9">
        <f>IFERROR(IF(Inputs!$B$36="OK",IF(A21&lt;=Inputs!$B$6,IF(AND(AND(ISNUMBER(C21),C21&gt;=0),AND(ISNUMBER(D21),D21&gt;=0,D21&lt;=1)),C21*D21,"PENDING"),0),"PENDING"),"PENDING")</f>
        <v>184.61538461538461</v>
      </c>
      <c r="F21" s="9">
        <f>IFERROR(IF(Inputs!$B$36="OK",IF(A21&lt;=Inputs!$B$6,IF(AND(ISNUMBER(E21),AND(ISNUMBER(Inputs!$B$23),Inputs!$B$23&gt;=0,Inputs!$B$23&lt;=1)),E21*(1-Inputs!$B$23),"PENDING"),0),"PENDING"),"PENDING")</f>
        <v>184.61538461538461</v>
      </c>
      <c r="G21" s="9">
        <f>IFERROR(IF(Inputs!$B$36="OK",IF(A21&lt;=Inputs!$B$6,IF(AND(ISNUMBER(E21),AND(ISNUMBER(Inputs!$B$23),Inputs!$B$23&gt;=0,Inputs!$B$23&lt;=1)),E21*Inputs!$B$23,"PENDING"),0),"PENDING"),"PENDING")</f>
        <v>0</v>
      </c>
      <c r="H21" s="9">
        <f>IFERROR(IF(Inputs!$B$36="OK",IF(A21&lt;=Inputs!$B$6,IF(AND(ISNUMBER(E21),ISNUMBER(C21),AND(Inputs!$B$14=1,AND(ISNUMBER(Inputs!$B$15),Inputs!$B$15&gt;=0,Inputs!$B$15&lt;=10),AND(ISNUMBER(Inputs!$B$16),Inputs!$B$16&gt;=0,Inputs!$B$16&lt;=1))),MIN(E21,C21*Inputs!$B$16)*Inputs!$B$15,"UNKNOWN MATCH"),0),"UNKNOWN MATCH"),"UNKNOWN MATCH")</f>
        <v>92.307692307692307</v>
      </c>
      <c r="I21" s="9">
        <f>IFERROR(IF(Inputs!$B$36="OK",IF(A21&lt;=Inputs!$B$6,IF(AND(ISNUMBER(H21),AND(ISNUMBER(Inputs!$B$17),Inputs!$B$17&gt;=0,Inputs!$B$17&lt;=1)),H21*Inputs!$B$17,"UNKNOWN VESTING"),0),"UNKNOWN VESTING"),"UNKNOWN VESTING")</f>
        <v>92.307692307692307</v>
      </c>
      <c r="J21" s="5">
        <v>150</v>
      </c>
      <c r="K21" s="2" t="str">
        <f>IFERROR(IF(Inputs!$B$36="OK",IF(A21&lt;=Inputs!$B$6,IF(AND(ISNUMBER(B21),ISNUMBER(Inputs!$B$4),YEAR(B21)=Inputs!$B$4),"OK","FIX DATE"),""),"PENDING"),"PENDING")</f>
        <v>OK</v>
      </c>
      <c r="L21" s="9">
        <f>IFERROR(IF(Inputs!$B$36="OK",IF(A21&lt;=Inputs!$B$6,IF(ISNUMBER(H21),MAX(0,C21*Inputs!$B$16*Inputs!$B$15-H21),"UNKNOWN MATCH"),0),"UNKNOWN MATCH"),"UNKNOWN MATCH")</f>
        <v>0</v>
      </c>
      <c r="M21" s="28">
        <f>IFERROR(IF(OR(NOT(A21&lt;=Inputs!$B$6),K21="OK"),IF(A21&lt;=Inputs!$B$6,MONTH(B21),0),"PENDING"),"PENDING")</f>
        <v>8</v>
      </c>
      <c r="N21" s="28" t="str">
        <f>IFERROR(IF(Inputs!$B$36="OK",IF(A21&lt;=Inputs!$B$6,IF(AND(K21="OK",Inputs!$B$37="OK",M21&gt;=Inputs!$B$32,M21&lt;=Inputs!$B$33),"OK","FIX PERIOD"),""),"PENDING"),"PENDING")</f>
        <v>OK</v>
      </c>
    </row>
    <row r="22" spans="1:14" ht="27.95" customHeight="1" x14ac:dyDescent="0.25">
      <c r="A22" s="2">
        <v>18</v>
      </c>
      <c r="B22" s="6">
        <f>IFERROR(IF(AND(Inputs!$B$36="OK",COUNT(Inputs!$B$7:$B$8)=2,Inputs!$B$7&gt;0,Inputs!$B$8&gt;=1),IF(A22&lt;=Inputs!$B$6,Inputs!$B$7+(A22-1)*Inputs!$B$8,""),"PENDING"),"PENDING")</f>
        <v>46269</v>
      </c>
      <c r="C22" s="5">
        <f>IFERROR(IF(Inputs!$B$36="OK",IF(A22&lt;=Inputs!$B$6,IF(AND(ISNUMBER(Inputs!$B$5),Inputs!$B$5&gt;=0),Inputs!$B$5/Inputs!$B$27,"PENDING"),0),"PENDING"),"PENDING")</f>
        <v>3076.9230769230771</v>
      </c>
      <c r="D22" s="11">
        <f>IFERROR(IF(Inputs!$B$36="OK",IF(A22&lt;=Inputs!$B$6,IF(AND(ISNUMBER(Inputs!$B$21),Inputs!$B$21=INT(Inputs!$B$21),Inputs!$B$21&gt;=1,Inputs!$B$21&lt;=53,IF(A22&lt;Inputs!$B$21,ISNUMBER(Inputs!$B$20),ISNUMBER(Inputs!$B$22)),IF(A22&lt;Inputs!$B$21,Inputs!$B$20,Inputs!$B$22)&gt;=0,IF(A22&lt;Inputs!$B$21,Inputs!$B$20,Inputs!$B$22)&lt;=1),IF(A22&lt;Inputs!$B$21,Inputs!$B$20,Inputs!$B$22),"PENDING"),0),"PENDING"),"PENDING")</f>
        <v>0.06</v>
      </c>
      <c r="E22" s="9">
        <f>IFERROR(IF(Inputs!$B$36="OK",IF(A22&lt;=Inputs!$B$6,IF(AND(AND(ISNUMBER(C22),C22&gt;=0),AND(ISNUMBER(D22),D22&gt;=0,D22&lt;=1)),C22*D22,"PENDING"),0),"PENDING"),"PENDING")</f>
        <v>184.61538461538461</v>
      </c>
      <c r="F22" s="9">
        <f>IFERROR(IF(Inputs!$B$36="OK",IF(A22&lt;=Inputs!$B$6,IF(AND(ISNUMBER(E22),AND(ISNUMBER(Inputs!$B$23),Inputs!$B$23&gt;=0,Inputs!$B$23&lt;=1)),E22*(1-Inputs!$B$23),"PENDING"),0),"PENDING"),"PENDING")</f>
        <v>184.61538461538461</v>
      </c>
      <c r="G22" s="9">
        <f>IFERROR(IF(Inputs!$B$36="OK",IF(A22&lt;=Inputs!$B$6,IF(AND(ISNUMBER(E22),AND(ISNUMBER(Inputs!$B$23),Inputs!$B$23&gt;=0,Inputs!$B$23&lt;=1)),E22*Inputs!$B$23,"PENDING"),0),"PENDING"),"PENDING")</f>
        <v>0</v>
      </c>
      <c r="H22" s="9">
        <f>IFERROR(IF(Inputs!$B$36="OK",IF(A22&lt;=Inputs!$B$6,IF(AND(ISNUMBER(E22),ISNUMBER(C22),AND(Inputs!$B$14=1,AND(ISNUMBER(Inputs!$B$15),Inputs!$B$15&gt;=0,Inputs!$B$15&lt;=10),AND(ISNUMBER(Inputs!$B$16),Inputs!$B$16&gt;=0,Inputs!$B$16&lt;=1))),MIN(E22,C22*Inputs!$B$16)*Inputs!$B$15,"UNKNOWN MATCH"),0),"UNKNOWN MATCH"),"UNKNOWN MATCH")</f>
        <v>92.307692307692307</v>
      </c>
      <c r="I22" s="9">
        <f>IFERROR(IF(Inputs!$B$36="OK",IF(A22&lt;=Inputs!$B$6,IF(AND(ISNUMBER(H22),AND(ISNUMBER(Inputs!$B$17),Inputs!$B$17&gt;=0,Inputs!$B$17&lt;=1)),H22*Inputs!$B$17,"UNKNOWN VESTING"),0),"UNKNOWN VESTING"),"UNKNOWN VESTING")</f>
        <v>92.307692307692307</v>
      </c>
      <c r="J22" s="5">
        <v>150</v>
      </c>
      <c r="K22" s="2" t="str">
        <f>IFERROR(IF(Inputs!$B$36="OK",IF(A22&lt;=Inputs!$B$6,IF(AND(ISNUMBER(B22),ISNUMBER(Inputs!$B$4),YEAR(B22)=Inputs!$B$4),"OK","FIX DATE"),""),"PENDING"),"PENDING")</f>
        <v>OK</v>
      </c>
      <c r="L22" s="9">
        <f>IFERROR(IF(Inputs!$B$36="OK",IF(A22&lt;=Inputs!$B$6,IF(ISNUMBER(H22),MAX(0,C22*Inputs!$B$16*Inputs!$B$15-H22),"UNKNOWN MATCH"),0),"UNKNOWN MATCH"),"UNKNOWN MATCH")</f>
        <v>0</v>
      </c>
      <c r="M22" s="28">
        <f>IFERROR(IF(OR(NOT(A22&lt;=Inputs!$B$6),K22="OK"),IF(A22&lt;=Inputs!$B$6,MONTH(B22),0),"PENDING"),"PENDING")</f>
        <v>9</v>
      </c>
      <c r="N22" s="28" t="str">
        <f>IFERROR(IF(Inputs!$B$36="OK",IF(A22&lt;=Inputs!$B$6,IF(AND(K22="OK",Inputs!$B$37="OK",M22&gt;=Inputs!$B$32,M22&lt;=Inputs!$B$33),"OK","FIX PERIOD"),""),"PENDING"),"PENDING")</f>
        <v>OK</v>
      </c>
    </row>
    <row r="23" spans="1:14" ht="27.95" customHeight="1" x14ac:dyDescent="0.25">
      <c r="A23" s="2">
        <v>19</v>
      </c>
      <c r="B23" s="6">
        <f>IFERROR(IF(AND(Inputs!$B$36="OK",COUNT(Inputs!$B$7:$B$8)=2,Inputs!$B$7&gt;0,Inputs!$B$8&gt;=1),IF(A23&lt;=Inputs!$B$6,Inputs!$B$7+(A23-1)*Inputs!$B$8,""),"PENDING"),"PENDING")</f>
        <v>46283</v>
      </c>
      <c r="C23" s="5">
        <f>IFERROR(IF(Inputs!$B$36="OK",IF(A23&lt;=Inputs!$B$6,IF(AND(ISNUMBER(Inputs!$B$5),Inputs!$B$5&gt;=0),Inputs!$B$5/Inputs!$B$27,"PENDING"),0),"PENDING"),"PENDING")</f>
        <v>3076.9230769230771</v>
      </c>
      <c r="D23" s="11">
        <f>IFERROR(IF(Inputs!$B$36="OK",IF(A23&lt;=Inputs!$B$6,IF(AND(ISNUMBER(Inputs!$B$21),Inputs!$B$21=INT(Inputs!$B$21),Inputs!$B$21&gt;=1,Inputs!$B$21&lt;=53,IF(A23&lt;Inputs!$B$21,ISNUMBER(Inputs!$B$20),ISNUMBER(Inputs!$B$22)),IF(A23&lt;Inputs!$B$21,Inputs!$B$20,Inputs!$B$22)&gt;=0,IF(A23&lt;Inputs!$B$21,Inputs!$B$20,Inputs!$B$22)&lt;=1),IF(A23&lt;Inputs!$B$21,Inputs!$B$20,Inputs!$B$22),"PENDING"),0),"PENDING"),"PENDING")</f>
        <v>0.06</v>
      </c>
      <c r="E23" s="9">
        <f>IFERROR(IF(Inputs!$B$36="OK",IF(A23&lt;=Inputs!$B$6,IF(AND(AND(ISNUMBER(C23),C23&gt;=0),AND(ISNUMBER(D23),D23&gt;=0,D23&lt;=1)),C23*D23,"PENDING"),0),"PENDING"),"PENDING")</f>
        <v>184.61538461538461</v>
      </c>
      <c r="F23" s="9">
        <f>IFERROR(IF(Inputs!$B$36="OK",IF(A23&lt;=Inputs!$B$6,IF(AND(ISNUMBER(E23),AND(ISNUMBER(Inputs!$B$23),Inputs!$B$23&gt;=0,Inputs!$B$23&lt;=1)),E23*(1-Inputs!$B$23),"PENDING"),0),"PENDING"),"PENDING")</f>
        <v>184.61538461538461</v>
      </c>
      <c r="G23" s="9">
        <f>IFERROR(IF(Inputs!$B$36="OK",IF(A23&lt;=Inputs!$B$6,IF(AND(ISNUMBER(E23),AND(ISNUMBER(Inputs!$B$23),Inputs!$B$23&gt;=0,Inputs!$B$23&lt;=1)),E23*Inputs!$B$23,"PENDING"),0),"PENDING"),"PENDING")</f>
        <v>0</v>
      </c>
      <c r="H23" s="9">
        <f>IFERROR(IF(Inputs!$B$36="OK",IF(A23&lt;=Inputs!$B$6,IF(AND(ISNUMBER(E23),ISNUMBER(C23),AND(Inputs!$B$14=1,AND(ISNUMBER(Inputs!$B$15),Inputs!$B$15&gt;=0,Inputs!$B$15&lt;=10),AND(ISNUMBER(Inputs!$B$16),Inputs!$B$16&gt;=0,Inputs!$B$16&lt;=1))),MIN(E23,C23*Inputs!$B$16)*Inputs!$B$15,"UNKNOWN MATCH"),0),"UNKNOWN MATCH"),"UNKNOWN MATCH")</f>
        <v>92.307692307692307</v>
      </c>
      <c r="I23" s="9">
        <f>IFERROR(IF(Inputs!$B$36="OK",IF(A23&lt;=Inputs!$B$6,IF(AND(ISNUMBER(H23),AND(ISNUMBER(Inputs!$B$17),Inputs!$B$17&gt;=0,Inputs!$B$17&lt;=1)),H23*Inputs!$B$17,"UNKNOWN VESTING"),0),"UNKNOWN VESTING"),"UNKNOWN VESTING")</f>
        <v>92.307692307692307</v>
      </c>
      <c r="J23" s="5">
        <v>150</v>
      </c>
      <c r="K23" s="2" t="str">
        <f>IFERROR(IF(Inputs!$B$36="OK",IF(A23&lt;=Inputs!$B$6,IF(AND(ISNUMBER(B23),ISNUMBER(Inputs!$B$4),YEAR(B23)=Inputs!$B$4),"OK","FIX DATE"),""),"PENDING"),"PENDING")</f>
        <v>OK</v>
      </c>
      <c r="L23" s="9">
        <f>IFERROR(IF(Inputs!$B$36="OK",IF(A23&lt;=Inputs!$B$6,IF(ISNUMBER(H23),MAX(0,C23*Inputs!$B$16*Inputs!$B$15-H23),"UNKNOWN MATCH"),0),"UNKNOWN MATCH"),"UNKNOWN MATCH")</f>
        <v>0</v>
      </c>
      <c r="M23" s="28">
        <f>IFERROR(IF(OR(NOT(A23&lt;=Inputs!$B$6),K23="OK"),IF(A23&lt;=Inputs!$B$6,MONTH(B23),0),"PENDING"),"PENDING")</f>
        <v>9</v>
      </c>
      <c r="N23" s="28" t="str">
        <f>IFERROR(IF(Inputs!$B$36="OK",IF(A23&lt;=Inputs!$B$6,IF(AND(K23="OK",Inputs!$B$37="OK",M23&gt;=Inputs!$B$32,M23&lt;=Inputs!$B$33),"OK","FIX PERIOD"),""),"PENDING"),"PENDING")</f>
        <v>OK</v>
      </c>
    </row>
    <row r="24" spans="1:14" ht="27.95" customHeight="1" x14ac:dyDescent="0.25">
      <c r="A24" s="2">
        <v>20</v>
      </c>
      <c r="B24" s="6">
        <f>IFERROR(IF(AND(Inputs!$B$36="OK",COUNT(Inputs!$B$7:$B$8)=2,Inputs!$B$7&gt;0,Inputs!$B$8&gt;=1),IF(A24&lt;=Inputs!$B$6,Inputs!$B$7+(A24-1)*Inputs!$B$8,""),"PENDING"),"PENDING")</f>
        <v>46297</v>
      </c>
      <c r="C24" s="5">
        <f>IFERROR(IF(Inputs!$B$36="OK",IF(A24&lt;=Inputs!$B$6,IF(AND(ISNUMBER(Inputs!$B$5),Inputs!$B$5&gt;=0),Inputs!$B$5/Inputs!$B$27,"PENDING"),0),"PENDING"),"PENDING")</f>
        <v>3076.9230769230771</v>
      </c>
      <c r="D24" s="11">
        <f>IFERROR(IF(Inputs!$B$36="OK",IF(A24&lt;=Inputs!$B$6,IF(AND(ISNUMBER(Inputs!$B$21),Inputs!$B$21=INT(Inputs!$B$21),Inputs!$B$21&gt;=1,Inputs!$B$21&lt;=53,IF(A24&lt;Inputs!$B$21,ISNUMBER(Inputs!$B$20),ISNUMBER(Inputs!$B$22)),IF(A24&lt;Inputs!$B$21,Inputs!$B$20,Inputs!$B$22)&gt;=0,IF(A24&lt;Inputs!$B$21,Inputs!$B$20,Inputs!$B$22)&lt;=1),IF(A24&lt;Inputs!$B$21,Inputs!$B$20,Inputs!$B$22),"PENDING"),0),"PENDING"),"PENDING")</f>
        <v>0.06</v>
      </c>
      <c r="E24" s="9">
        <f>IFERROR(IF(Inputs!$B$36="OK",IF(A24&lt;=Inputs!$B$6,IF(AND(AND(ISNUMBER(C24),C24&gt;=0),AND(ISNUMBER(D24),D24&gt;=0,D24&lt;=1)),C24*D24,"PENDING"),0),"PENDING"),"PENDING")</f>
        <v>184.61538461538461</v>
      </c>
      <c r="F24" s="9">
        <f>IFERROR(IF(Inputs!$B$36="OK",IF(A24&lt;=Inputs!$B$6,IF(AND(ISNUMBER(E24),AND(ISNUMBER(Inputs!$B$23),Inputs!$B$23&gt;=0,Inputs!$B$23&lt;=1)),E24*(1-Inputs!$B$23),"PENDING"),0),"PENDING"),"PENDING")</f>
        <v>184.61538461538461</v>
      </c>
      <c r="G24" s="9">
        <f>IFERROR(IF(Inputs!$B$36="OK",IF(A24&lt;=Inputs!$B$6,IF(AND(ISNUMBER(E24),AND(ISNUMBER(Inputs!$B$23),Inputs!$B$23&gt;=0,Inputs!$B$23&lt;=1)),E24*Inputs!$B$23,"PENDING"),0),"PENDING"),"PENDING")</f>
        <v>0</v>
      </c>
      <c r="H24" s="9">
        <f>IFERROR(IF(Inputs!$B$36="OK",IF(A24&lt;=Inputs!$B$6,IF(AND(ISNUMBER(E24),ISNUMBER(C24),AND(Inputs!$B$14=1,AND(ISNUMBER(Inputs!$B$15),Inputs!$B$15&gt;=0,Inputs!$B$15&lt;=10),AND(ISNUMBER(Inputs!$B$16),Inputs!$B$16&gt;=0,Inputs!$B$16&lt;=1))),MIN(E24,C24*Inputs!$B$16)*Inputs!$B$15,"UNKNOWN MATCH"),0),"UNKNOWN MATCH"),"UNKNOWN MATCH")</f>
        <v>92.307692307692307</v>
      </c>
      <c r="I24" s="9">
        <f>IFERROR(IF(Inputs!$B$36="OK",IF(A24&lt;=Inputs!$B$6,IF(AND(ISNUMBER(H24),AND(ISNUMBER(Inputs!$B$17),Inputs!$B$17&gt;=0,Inputs!$B$17&lt;=1)),H24*Inputs!$B$17,"UNKNOWN VESTING"),0),"UNKNOWN VESTING"),"UNKNOWN VESTING")</f>
        <v>92.307692307692307</v>
      </c>
      <c r="J24" s="5">
        <v>150</v>
      </c>
      <c r="K24" s="2" t="str">
        <f>IFERROR(IF(Inputs!$B$36="OK",IF(A24&lt;=Inputs!$B$6,IF(AND(ISNUMBER(B24),ISNUMBER(Inputs!$B$4),YEAR(B24)=Inputs!$B$4),"OK","FIX DATE"),""),"PENDING"),"PENDING")</f>
        <v>OK</v>
      </c>
      <c r="L24" s="9">
        <f>IFERROR(IF(Inputs!$B$36="OK",IF(A24&lt;=Inputs!$B$6,IF(ISNUMBER(H24),MAX(0,C24*Inputs!$B$16*Inputs!$B$15-H24),"UNKNOWN MATCH"),0),"UNKNOWN MATCH"),"UNKNOWN MATCH")</f>
        <v>0</v>
      </c>
      <c r="M24" s="28">
        <f>IFERROR(IF(OR(NOT(A24&lt;=Inputs!$B$6),K24="OK"),IF(A24&lt;=Inputs!$B$6,MONTH(B24),0),"PENDING"),"PENDING")</f>
        <v>10</v>
      </c>
      <c r="N24" s="28" t="str">
        <f>IFERROR(IF(Inputs!$B$36="OK",IF(A24&lt;=Inputs!$B$6,IF(AND(K24="OK",Inputs!$B$37="OK",M24&gt;=Inputs!$B$32,M24&lt;=Inputs!$B$33),"OK","FIX PERIOD"),""),"PENDING"),"PENDING")</f>
        <v>OK</v>
      </c>
    </row>
    <row r="25" spans="1:14" ht="27.95" customHeight="1" x14ac:dyDescent="0.25">
      <c r="A25" s="2">
        <v>21</v>
      </c>
      <c r="B25" s="6">
        <f>IFERROR(IF(AND(Inputs!$B$36="OK",COUNT(Inputs!$B$7:$B$8)=2,Inputs!$B$7&gt;0,Inputs!$B$8&gt;=1),IF(A25&lt;=Inputs!$B$6,Inputs!$B$7+(A25-1)*Inputs!$B$8,""),"PENDING"),"PENDING")</f>
        <v>46311</v>
      </c>
      <c r="C25" s="5">
        <f>IFERROR(IF(Inputs!$B$36="OK",IF(A25&lt;=Inputs!$B$6,IF(AND(ISNUMBER(Inputs!$B$5),Inputs!$B$5&gt;=0),Inputs!$B$5/Inputs!$B$27,"PENDING"),0),"PENDING"),"PENDING")</f>
        <v>3076.9230769230771</v>
      </c>
      <c r="D25" s="11">
        <f>IFERROR(IF(Inputs!$B$36="OK",IF(A25&lt;=Inputs!$B$6,IF(AND(ISNUMBER(Inputs!$B$21),Inputs!$B$21=INT(Inputs!$B$21),Inputs!$B$21&gt;=1,Inputs!$B$21&lt;=53,IF(A25&lt;Inputs!$B$21,ISNUMBER(Inputs!$B$20),ISNUMBER(Inputs!$B$22)),IF(A25&lt;Inputs!$B$21,Inputs!$B$20,Inputs!$B$22)&gt;=0,IF(A25&lt;Inputs!$B$21,Inputs!$B$20,Inputs!$B$22)&lt;=1),IF(A25&lt;Inputs!$B$21,Inputs!$B$20,Inputs!$B$22),"PENDING"),0),"PENDING"),"PENDING")</f>
        <v>0.06</v>
      </c>
      <c r="E25" s="9">
        <f>IFERROR(IF(Inputs!$B$36="OK",IF(A25&lt;=Inputs!$B$6,IF(AND(AND(ISNUMBER(C25),C25&gt;=0),AND(ISNUMBER(D25),D25&gt;=0,D25&lt;=1)),C25*D25,"PENDING"),0),"PENDING"),"PENDING")</f>
        <v>184.61538461538461</v>
      </c>
      <c r="F25" s="9">
        <f>IFERROR(IF(Inputs!$B$36="OK",IF(A25&lt;=Inputs!$B$6,IF(AND(ISNUMBER(E25),AND(ISNUMBER(Inputs!$B$23),Inputs!$B$23&gt;=0,Inputs!$B$23&lt;=1)),E25*(1-Inputs!$B$23),"PENDING"),0),"PENDING"),"PENDING")</f>
        <v>184.61538461538461</v>
      </c>
      <c r="G25" s="9">
        <f>IFERROR(IF(Inputs!$B$36="OK",IF(A25&lt;=Inputs!$B$6,IF(AND(ISNUMBER(E25),AND(ISNUMBER(Inputs!$B$23),Inputs!$B$23&gt;=0,Inputs!$B$23&lt;=1)),E25*Inputs!$B$23,"PENDING"),0),"PENDING"),"PENDING")</f>
        <v>0</v>
      </c>
      <c r="H25" s="9">
        <f>IFERROR(IF(Inputs!$B$36="OK",IF(A25&lt;=Inputs!$B$6,IF(AND(ISNUMBER(E25),ISNUMBER(C25),AND(Inputs!$B$14=1,AND(ISNUMBER(Inputs!$B$15),Inputs!$B$15&gt;=0,Inputs!$B$15&lt;=10),AND(ISNUMBER(Inputs!$B$16),Inputs!$B$16&gt;=0,Inputs!$B$16&lt;=1))),MIN(E25,C25*Inputs!$B$16)*Inputs!$B$15,"UNKNOWN MATCH"),0),"UNKNOWN MATCH"),"UNKNOWN MATCH")</f>
        <v>92.307692307692307</v>
      </c>
      <c r="I25" s="9">
        <f>IFERROR(IF(Inputs!$B$36="OK",IF(A25&lt;=Inputs!$B$6,IF(AND(ISNUMBER(H25),AND(ISNUMBER(Inputs!$B$17),Inputs!$B$17&gt;=0,Inputs!$B$17&lt;=1)),H25*Inputs!$B$17,"UNKNOWN VESTING"),0),"UNKNOWN VESTING"),"UNKNOWN VESTING")</f>
        <v>92.307692307692307</v>
      </c>
      <c r="J25" s="5">
        <v>150</v>
      </c>
      <c r="K25" s="2" t="str">
        <f>IFERROR(IF(Inputs!$B$36="OK",IF(A25&lt;=Inputs!$B$6,IF(AND(ISNUMBER(B25),ISNUMBER(Inputs!$B$4),YEAR(B25)=Inputs!$B$4),"OK","FIX DATE"),""),"PENDING"),"PENDING")</f>
        <v>OK</v>
      </c>
      <c r="L25" s="9">
        <f>IFERROR(IF(Inputs!$B$36="OK",IF(A25&lt;=Inputs!$B$6,IF(ISNUMBER(H25),MAX(0,C25*Inputs!$B$16*Inputs!$B$15-H25),"UNKNOWN MATCH"),0),"UNKNOWN MATCH"),"UNKNOWN MATCH")</f>
        <v>0</v>
      </c>
      <c r="M25" s="28">
        <f>IFERROR(IF(OR(NOT(A25&lt;=Inputs!$B$6),K25="OK"),IF(A25&lt;=Inputs!$B$6,MONTH(B25),0),"PENDING"),"PENDING")</f>
        <v>10</v>
      </c>
      <c r="N25" s="28" t="str">
        <f>IFERROR(IF(Inputs!$B$36="OK",IF(A25&lt;=Inputs!$B$6,IF(AND(K25="OK",Inputs!$B$37="OK",M25&gt;=Inputs!$B$32,M25&lt;=Inputs!$B$33),"OK","FIX PERIOD"),""),"PENDING"),"PENDING")</f>
        <v>OK</v>
      </c>
    </row>
    <row r="26" spans="1:14" ht="27.95" customHeight="1" x14ac:dyDescent="0.25">
      <c r="A26" s="2">
        <v>22</v>
      </c>
      <c r="B26" s="6">
        <f>IFERROR(IF(AND(Inputs!$B$36="OK",COUNT(Inputs!$B$7:$B$8)=2,Inputs!$B$7&gt;0,Inputs!$B$8&gt;=1),IF(A26&lt;=Inputs!$B$6,Inputs!$B$7+(A26-1)*Inputs!$B$8,""),"PENDING"),"PENDING")</f>
        <v>46325</v>
      </c>
      <c r="C26" s="5">
        <f>IFERROR(IF(Inputs!$B$36="OK",IF(A26&lt;=Inputs!$B$6,IF(AND(ISNUMBER(Inputs!$B$5),Inputs!$B$5&gt;=0),Inputs!$B$5/Inputs!$B$27,"PENDING"),0),"PENDING"),"PENDING")</f>
        <v>3076.9230769230771</v>
      </c>
      <c r="D26" s="11">
        <f>IFERROR(IF(Inputs!$B$36="OK",IF(A26&lt;=Inputs!$B$6,IF(AND(ISNUMBER(Inputs!$B$21),Inputs!$B$21=INT(Inputs!$B$21),Inputs!$B$21&gt;=1,Inputs!$B$21&lt;=53,IF(A26&lt;Inputs!$B$21,ISNUMBER(Inputs!$B$20),ISNUMBER(Inputs!$B$22)),IF(A26&lt;Inputs!$B$21,Inputs!$B$20,Inputs!$B$22)&gt;=0,IF(A26&lt;Inputs!$B$21,Inputs!$B$20,Inputs!$B$22)&lt;=1),IF(A26&lt;Inputs!$B$21,Inputs!$B$20,Inputs!$B$22),"PENDING"),0),"PENDING"),"PENDING")</f>
        <v>0.06</v>
      </c>
      <c r="E26" s="9">
        <f>IFERROR(IF(Inputs!$B$36="OK",IF(A26&lt;=Inputs!$B$6,IF(AND(AND(ISNUMBER(C26),C26&gt;=0),AND(ISNUMBER(D26),D26&gt;=0,D26&lt;=1)),C26*D26,"PENDING"),0),"PENDING"),"PENDING")</f>
        <v>184.61538461538461</v>
      </c>
      <c r="F26" s="9">
        <f>IFERROR(IF(Inputs!$B$36="OK",IF(A26&lt;=Inputs!$B$6,IF(AND(ISNUMBER(E26),AND(ISNUMBER(Inputs!$B$23),Inputs!$B$23&gt;=0,Inputs!$B$23&lt;=1)),E26*(1-Inputs!$B$23),"PENDING"),0),"PENDING"),"PENDING")</f>
        <v>184.61538461538461</v>
      </c>
      <c r="G26" s="9">
        <f>IFERROR(IF(Inputs!$B$36="OK",IF(A26&lt;=Inputs!$B$6,IF(AND(ISNUMBER(E26),AND(ISNUMBER(Inputs!$B$23),Inputs!$B$23&gt;=0,Inputs!$B$23&lt;=1)),E26*Inputs!$B$23,"PENDING"),0),"PENDING"),"PENDING")</f>
        <v>0</v>
      </c>
      <c r="H26" s="9">
        <f>IFERROR(IF(Inputs!$B$36="OK",IF(A26&lt;=Inputs!$B$6,IF(AND(ISNUMBER(E26),ISNUMBER(C26),AND(Inputs!$B$14=1,AND(ISNUMBER(Inputs!$B$15),Inputs!$B$15&gt;=0,Inputs!$B$15&lt;=10),AND(ISNUMBER(Inputs!$B$16),Inputs!$B$16&gt;=0,Inputs!$B$16&lt;=1))),MIN(E26,C26*Inputs!$B$16)*Inputs!$B$15,"UNKNOWN MATCH"),0),"UNKNOWN MATCH"),"UNKNOWN MATCH")</f>
        <v>92.307692307692307</v>
      </c>
      <c r="I26" s="9">
        <f>IFERROR(IF(Inputs!$B$36="OK",IF(A26&lt;=Inputs!$B$6,IF(AND(ISNUMBER(H26),AND(ISNUMBER(Inputs!$B$17),Inputs!$B$17&gt;=0,Inputs!$B$17&lt;=1)),H26*Inputs!$B$17,"UNKNOWN VESTING"),0),"UNKNOWN VESTING"),"UNKNOWN VESTING")</f>
        <v>92.307692307692307</v>
      </c>
      <c r="J26" s="5">
        <v>150</v>
      </c>
      <c r="K26" s="2" t="str">
        <f>IFERROR(IF(Inputs!$B$36="OK",IF(A26&lt;=Inputs!$B$6,IF(AND(ISNUMBER(B26),ISNUMBER(Inputs!$B$4),YEAR(B26)=Inputs!$B$4),"OK","FIX DATE"),""),"PENDING"),"PENDING")</f>
        <v>OK</v>
      </c>
      <c r="L26" s="9">
        <f>IFERROR(IF(Inputs!$B$36="OK",IF(A26&lt;=Inputs!$B$6,IF(ISNUMBER(H26),MAX(0,C26*Inputs!$B$16*Inputs!$B$15-H26),"UNKNOWN MATCH"),0),"UNKNOWN MATCH"),"UNKNOWN MATCH")</f>
        <v>0</v>
      </c>
      <c r="M26" s="28">
        <f>IFERROR(IF(OR(NOT(A26&lt;=Inputs!$B$6),K26="OK"),IF(A26&lt;=Inputs!$B$6,MONTH(B26),0),"PENDING"),"PENDING")</f>
        <v>10</v>
      </c>
      <c r="N26" s="28" t="str">
        <f>IFERROR(IF(Inputs!$B$36="OK",IF(A26&lt;=Inputs!$B$6,IF(AND(K26="OK",Inputs!$B$37="OK",M26&gt;=Inputs!$B$32,M26&lt;=Inputs!$B$33),"OK","FIX PERIOD"),""),"PENDING"),"PENDING")</f>
        <v>OK</v>
      </c>
    </row>
    <row r="27" spans="1:14" ht="27.95" customHeight="1" x14ac:dyDescent="0.25">
      <c r="A27" s="2">
        <v>23</v>
      </c>
      <c r="B27" s="6">
        <f>IFERROR(IF(AND(Inputs!$B$36="OK",COUNT(Inputs!$B$7:$B$8)=2,Inputs!$B$7&gt;0,Inputs!$B$8&gt;=1),IF(A27&lt;=Inputs!$B$6,Inputs!$B$7+(A27-1)*Inputs!$B$8,""),"PENDING"),"PENDING")</f>
        <v>46339</v>
      </c>
      <c r="C27" s="5">
        <f>IFERROR(IF(Inputs!$B$36="OK",IF(A27&lt;=Inputs!$B$6,IF(AND(ISNUMBER(Inputs!$B$5),Inputs!$B$5&gt;=0),Inputs!$B$5/Inputs!$B$27,"PENDING"),0),"PENDING"),"PENDING")</f>
        <v>3076.9230769230771</v>
      </c>
      <c r="D27" s="11">
        <f>IFERROR(IF(Inputs!$B$36="OK",IF(A27&lt;=Inputs!$B$6,IF(AND(ISNUMBER(Inputs!$B$21),Inputs!$B$21=INT(Inputs!$B$21),Inputs!$B$21&gt;=1,Inputs!$B$21&lt;=53,IF(A27&lt;Inputs!$B$21,ISNUMBER(Inputs!$B$20),ISNUMBER(Inputs!$B$22)),IF(A27&lt;Inputs!$B$21,Inputs!$B$20,Inputs!$B$22)&gt;=0,IF(A27&lt;Inputs!$B$21,Inputs!$B$20,Inputs!$B$22)&lt;=1),IF(A27&lt;Inputs!$B$21,Inputs!$B$20,Inputs!$B$22),"PENDING"),0),"PENDING"),"PENDING")</f>
        <v>0.06</v>
      </c>
      <c r="E27" s="9">
        <f>IFERROR(IF(Inputs!$B$36="OK",IF(A27&lt;=Inputs!$B$6,IF(AND(AND(ISNUMBER(C27),C27&gt;=0),AND(ISNUMBER(D27),D27&gt;=0,D27&lt;=1)),C27*D27,"PENDING"),0),"PENDING"),"PENDING")</f>
        <v>184.61538461538461</v>
      </c>
      <c r="F27" s="9">
        <f>IFERROR(IF(Inputs!$B$36="OK",IF(A27&lt;=Inputs!$B$6,IF(AND(ISNUMBER(E27),AND(ISNUMBER(Inputs!$B$23),Inputs!$B$23&gt;=0,Inputs!$B$23&lt;=1)),E27*(1-Inputs!$B$23),"PENDING"),0),"PENDING"),"PENDING")</f>
        <v>184.61538461538461</v>
      </c>
      <c r="G27" s="9">
        <f>IFERROR(IF(Inputs!$B$36="OK",IF(A27&lt;=Inputs!$B$6,IF(AND(ISNUMBER(E27),AND(ISNUMBER(Inputs!$B$23),Inputs!$B$23&gt;=0,Inputs!$B$23&lt;=1)),E27*Inputs!$B$23,"PENDING"),0),"PENDING"),"PENDING")</f>
        <v>0</v>
      </c>
      <c r="H27" s="9">
        <f>IFERROR(IF(Inputs!$B$36="OK",IF(A27&lt;=Inputs!$B$6,IF(AND(ISNUMBER(E27),ISNUMBER(C27),AND(Inputs!$B$14=1,AND(ISNUMBER(Inputs!$B$15),Inputs!$B$15&gt;=0,Inputs!$B$15&lt;=10),AND(ISNUMBER(Inputs!$B$16),Inputs!$B$16&gt;=0,Inputs!$B$16&lt;=1))),MIN(E27,C27*Inputs!$B$16)*Inputs!$B$15,"UNKNOWN MATCH"),0),"UNKNOWN MATCH"),"UNKNOWN MATCH")</f>
        <v>92.307692307692307</v>
      </c>
      <c r="I27" s="9">
        <f>IFERROR(IF(Inputs!$B$36="OK",IF(A27&lt;=Inputs!$B$6,IF(AND(ISNUMBER(H27),AND(ISNUMBER(Inputs!$B$17),Inputs!$B$17&gt;=0,Inputs!$B$17&lt;=1)),H27*Inputs!$B$17,"UNKNOWN VESTING"),0),"UNKNOWN VESTING"),"UNKNOWN VESTING")</f>
        <v>92.307692307692307</v>
      </c>
      <c r="J27" s="5">
        <v>150</v>
      </c>
      <c r="K27" s="2" t="str">
        <f>IFERROR(IF(Inputs!$B$36="OK",IF(A27&lt;=Inputs!$B$6,IF(AND(ISNUMBER(B27),ISNUMBER(Inputs!$B$4),YEAR(B27)=Inputs!$B$4),"OK","FIX DATE"),""),"PENDING"),"PENDING")</f>
        <v>OK</v>
      </c>
      <c r="L27" s="9">
        <f>IFERROR(IF(Inputs!$B$36="OK",IF(A27&lt;=Inputs!$B$6,IF(ISNUMBER(H27),MAX(0,C27*Inputs!$B$16*Inputs!$B$15-H27),"UNKNOWN MATCH"),0),"UNKNOWN MATCH"),"UNKNOWN MATCH")</f>
        <v>0</v>
      </c>
      <c r="M27" s="28">
        <f>IFERROR(IF(OR(NOT(A27&lt;=Inputs!$B$6),K27="OK"),IF(A27&lt;=Inputs!$B$6,MONTH(B27),0),"PENDING"),"PENDING")</f>
        <v>11</v>
      </c>
      <c r="N27" s="28" t="str">
        <f>IFERROR(IF(Inputs!$B$36="OK",IF(A27&lt;=Inputs!$B$6,IF(AND(K27="OK",Inputs!$B$37="OK",M27&gt;=Inputs!$B$32,M27&lt;=Inputs!$B$33),"OK","FIX PERIOD"),""),"PENDING"),"PENDING")</f>
        <v>OK</v>
      </c>
    </row>
    <row r="28" spans="1:14" ht="27.95" customHeight="1" x14ac:dyDescent="0.25">
      <c r="A28" s="2">
        <v>24</v>
      </c>
      <c r="B28" s="6">
        <f>IFERROR(IF(AND(Inputs!$B$36="OK",COUNT(Inputs!$B$7:$B$8)=2,Inputs!$B$7&gt;0,Inputs!$B$8&gt;=1),IF(A28&lt;=Inputs!$B$6,Inputs!$B$7+(A28-1)*Inputs!$B$8,""),"PENDING"),"PENDING")</f>
        <v>46353</v>
      </c>
      <c r="C28" s="5">
        <f>IFERROR(IF(Inputs!$B$36="OK",IF(A28&lt;=Inputs!$B$6,IF(AND(ISNUMBER(Inputs!$B$5),Inputs!$B$5&gt;=0),Inputs!$B$5/Inputs!$B$27,"PENDING"),0),"PENDING"),"PENDING")</f>
        <v>3076.9230769230771</v>
      </c>
      <c r="D28" s="11">
        <f>IFERROR(IF(Inputs!$B$36="OK",IF(A28&lt;=Inputs!$B$6,IF(AND(ISNUMBER(Inputs!$B$21),Inputs!$B$21=INT(Inputs!$B$21),Inputs!$B$21&gt;=1,Inputs!$B$21&lt;=53,IF(A28&lt;Inputs!$B$21,ISNUMBER(Inputs!$B$20),ISNUMBER(Inputs!$B$22)),IF(A28&lt;Inputs!$B$21,Inputs!$B$20,Inputs!$B$22)&gt;=0,IF(A28&lt;Inputs!$B$21,Inputs!$B$20,Inputs!$B$22)&lt;=1),IF(A28&lt;Inputs!$B$21,Inputs!$B$20,Inputs!$B$22),"PENDING"),0),"PENDING"),"PENDING")</f>
        <v>0.06</v>
      </c>
      <c r="E28" s="9">
        <f>IFERROR(IF(Inputs!$B$36="OK",IF(A28&lt;=Inputs!$B$6,IF(AND(AND(ISNUMBER(C28),C28&gt;=0),AND(ISNUMBER(D28),D28&gt;=0,D28&lt;=1)),C28*D28,"PENDING"),0),"PENDING"),"PENDING")</f>
        <v>184.61538461538461</v>
      </c>
      <c r="F28" s="9">
        <f>IFERROR(IF(Inputs!$B$36="OK",IF(A28&lt;=Inputs!$B$6,IF(AND(ISNUMBER(E28),AND(ISNUMBER(Inputs!$B$23),Inputs!$B$23&gt;=0,Inputs!$B$23&lt;=1)),E28*(1-Inputs!$B$23),"PENDING"),0),"PENDING"),"PENDING")</f>
        <v>184.61538461538461</v>
      </c>
      <c r="G28" s="9">
        <f>IFERROR(IF(Inputs!$B$36="OK",IF(A28&lt;=Inputs!$B$6,IF(AND(ISNUMBER(E28),AND(ISNUMBER(Inputs!$B$23),Inputs!$B$23&gt;=0,Inputs!$B$23&lt;=1)),E28*Inputs!$B$23,"PENDING"),0),"PENDING"),"PENDING")</f>
        <v>0</v>
      </c>
      <c r="H28" s="9">
        <f>IFERROR(IF(Inputs!$B$36="OK",IF(A28&lt;=Inputs!$B$6,IF(AND(ISNUMBER(E28),ISNUMBER(C28),AND(Inputs!$B$14=1,AND(ISNUMBER(Inputs!$B$15),Inputs!$B$15&gt;=0,Inputs!$B$15&lt;=10),AND(ISNUMBER(Inputs!$B$16),Inputs!$B$16&gt;=0,Inputs!$B$16&lt;=1))),MIN(E28,C28*Inputs!$B$16)*Inputs!$B$15,"UNKNOWN MATCH"),0),"UNKNOWN MATCH"),"UNKNOWN MATCH")</f>
        <v>92.307692307692307</v>
      </c>
      <c r="I28" s="9">
        <f>IFERROR(IF(Inputs!$B$36="OK",IF(A28&lt;=Inputs!$B$6,IF(AND(ISNUMBER(H28),AND(ISNUMBER(Inputs!$B$17),Inputs!$B$17&gt;=0,Inputs!$B$17&lt;=1)),H28*Inputs!$B$17,"UNKNOWN VESTING"),0),"UNKNOWN VESTING"),"UNKNOWN VESTING")</f>
        <v>92.307692307692307</v>
      </c>
      <c r="J28" s="5">
        <v>150</v>
      </c>
      <c r="K28" s="2" t="str">
        <f>IFERROR(IF(Inputs!$B$36="OK",IF(A28&lt;=Inputs!$B$6,IF(AND(ISNUMBER(B28),ISNUMBER(Inputs!$B$4),YEAR(B28)=Inputs!$B$4),"OK","FIX DATE"),""),"PENDING"),"PENDING")</f>
        <v>OK</v>
      </c>
      <c r="L28" s="9">
        <f>IFERROR(IF(Inputs!$B$36="OK",IF(A28&lt;=Inputs!$B$6,IF(ISNUMBER(H28),MAX(0,C28*Inputs!$B$16*Inputs!$B$15-H28),"UNKNOWN MATCH"),0),"UNKNOWN MATCH"),"UNKNOWN MATCH")</f>
        <v>0</v>
      </c>
      <c r="M28" s="28">
        <f>IFERROR(IF(OR(NOT(A28&lt;=Inputs!$B$6),K28="OK"),IF(A28&lt;=Inputs!$B$6,MONTH(B28),0),"PENDING"),"PENDING")</f>
        <v>11</v>
      </c>
      <c r="N28" s="28" t="str">
        <f>IFERROR(IF(Inputs!$B$36="OK",IF(A28&lt;=Inputs!$B$6,IF(AND(K28="OK",Inputs!$B$37="OK",M28&gt;=Inputs!$B$32,M28&lt;=Inputs!$B$33),"OK","FIX PERIOD"),""),"PENDING"),"PENDING")</f>
        <v>OK</v>
      </c>
    </row>
    <row r="29" spans="1:14" ht="27.95" customHeight="1" x14ac:dyDescent="0.25">
      <c r="A29" s="2">
        <v>25</v>
      </c>
      <c r="B29" s="6">
        <f>IFERROR(IF(AND(Inputs!$B$36="OK",COUNT(Inputs!$B$7:$B$8)=2,Inputs!$B$7&gt;0,Inputs!$B$8&gt;=1),IF(A29&lt;=Inputs!$B$6,Inputs!$B$7+(A29-1)*Inputs!$B$8,""),"PENDING"),"PENDING")</f>
        <v>46367</v>
      </c>
      <c r="C29" s="5">
        <f>IFERROR(IF(Inputs!$B$36="OK",IF(A29&lt;=Inputs!$B$6,IF(AND(ISNUMBER(Inputs!$B$5),Inputs!$B$5&gt;=0),Inputs!$B$5/Inputs!$B$27,"PENDING"),0),"PENDING"),"PENDING")</f>
        <v>3076.9230769230771</v>
      </c>
      <c r="D29" s="11">
        <f>IFERROR(IF(Inputs!$B$36="OK",IF(A29&lt;=Inputs!$B$6,IF(AND(ISNUMBER(Inputs!$B$21),Inputs!$B$21=INT(Inputs!$B$21),Inputs!$B$21&gt;=1,Inputs!$B$21&lt;=53,IF(A29&lt;Inputs!$B$21,ISNUMBER(Inputs!$B$20),ISNUMBER(Inputs!$B$22)),IF(A29&lt;Inputs!$B$21,Inputs!$B$20,Inputs!$B$22)&gt;=0,IF(A29&lt;Inputs!$B$21,Inputs!$B$20,Inputs!$B$22)&lt;=1),IF(A29&lt;Inputs!$B$21,Inputs!$B$20,Inputs!$B$22),"PENDING"),0),"PENDING"),"PENDING")</f>
        <v>0.06</v>
      </c>
      <c r="E29" s="9">
        <f>IFERROR(IF(Inputs!$B$36="OK",IF(A29&lt;=Inputs!$B$6,IF(AND(AND(ISNUMBER(C29),C29&gt;=0),AND(ISNUMBER(D29),D29&gt;=0,D29&lt;=1)),C29*D29,"PENDING"),0),"PENDING"),"PENDING")</f>
        <v>184.61538461538461</v>
      </c>
      <c r="F29" s="9">
        <f>IFERROR(IF(Inputs!$B$36="OK",IF(A29&lt;=Inputs!$B$6,IF(AND(ISNUMBER(E29),AND(ISNUMBER(Inputs!$B$23),Inputs!$B$23&gt;=0,Inputs!$B$23&lt;=1)),E29*(1-Inputs!$B$23),"PENDING"),0),"PENDING"),"PENDING")</f>
        <v>184.61538461538461</v>
      </c>
      <c r="G29" s="9">
        <f>IFERROR(IF(Inputs!$B$36="OK",IF(A29&lt;=Inputs!$B$6,IF(AND(ISNUMBER(E29),AND(ISNUMBER(Inputs!$B$23),Inputs!$B$23&gt;=0,Inputs!$B$23&lt;=1)),E29*Inputs!$B$23,"PENDING"),0),"PENDING"),"PENDING")</f>
        <v>0</v>
      </c>
      <c r="H29" s="9">
        <f>IFERROR(IF(Inputs!$B$36="OK",IF(A29&lt;=Inputs!$B$6,IF(AND(ISNUMBER(E29),ISNUMBER(C29),AND(Inputs!$B$14=1,AND(ISNUMBER(Inputs!$B$15),Inputs!$B$15&gt;=0,Inputs!$B$15&lt;=10),AND(ISNUMBER(Inputs!$B$16),Inputs!$B$16&gt;=0,Inputs!$B$16&lt;=1))),MIN(E29,C29*Inputs!$B$16)*Inputs!$B$15,"UNKNOWN MATCH"),0),"UNKNOWN MATCH"),"UNKNOWN MATCH")</f>
        <v>92.307692307692307</v>
      </c>
      <c r="I29" s="9">
        <f>IFERROR(IF(Inputs!$B$36="OK",IF(A29&lt;=Inputs!$B$6,IF(AND(ISNUMBER(H29),AND(ISNUMBER(Inputs!$B$17),Inputs!$B$17&gt;=0,Inputs!$B$17&lt;=1)),H29*Inputs!$B$17,"UNKNOWN VESTING"),0),"UNKNOWN VESTING"),"UNKNOWN VESTING")</f>
        <v>92.307692307692307</v>
      </c>
      <c r="J29" s="5">
        <v>150</v>
      </c>
      <c r="K29" s="2" t="str">
        <f>IFERROR(IF(Inputs!$B$36="OK",IF(A29&lt;=Inputs!$B$6,IF(AND(ISNUMBER(B29),ISNUMBER(Inputs!$B$4),YEAR(B29)=Inputs!$B$4),"OK","FIX DATE"),""),"PENDING"),"PENDING")</f>
        <v>OK</v>
      </c>
      <c r="L29" s="9">
        <f>IFERROR(IF(Inputs!$B$36="OK",IF(A29&lt;=Inputs!$B$6,IF(ISNUMBER(H29),MAX(0,C29*Inputs!$B$16*Inputs!$B$15-H29),"UNKNOWN MATCH"),0),"UNKNOWN MATCH"),"UNKNOWN MATCH")</f>
        <v>0</v>
      </c>
      <c r="M29" s="28">
        <f>IFERROR(IF(OR(NOT(A29&lt;=Inputs!$B$6),K29="OK"),IF(A29&lt;=Inputs!$B$6,MONTH(B29),0),"PENDING"),"PENDING")</f>
        <v>12</v>
      </c>
      <c r="N29" s="28" t="str">
        <f>IFERROR(IF(Inputs!$B$36="OK",IF(A29&lt;=Inputs!$B$6,IF(AND(K29="OK",Inputs!$B$37="OK",M29&gt;=Inputs!$B$32,M29&lt;=Inputs!$B$33),"OK","FIX PERIOD"),""),"PENDING"),"PENDING")</f>
        <v>OK</v>
      </c>
    </row>
    <row r="30" spans="1:14" ht="27.95" customHeight="1" x14ac:dyDescent="0.25">
      <c r="A30" s="2">
        <v>26</v>
      </c>
      <c r="B30" s="6">
        <f>IFERROR(IF(AND(Inputs!$B$36="OK",COUNT(Inputs!$B$7:$B$8)=2,Inputs!$B$7&gt;0,Inputs!$B$8&gt;=1),IF(A30&lt;=Inputs!$B$6,Inputs!$B$7+(A30-1)*Inputs!$B$8,""),"PENDING"),"PENDING")</f>
        <v>46381</v>
      </c>
      <c r="C30" s="5">
        <f>IFERROR(IF(Inputs!$B$36="OK",IF(A30&lt;=Inputs!$B$6,IF(AND(ISNUMBER(Inputs!$B$5),Inputs!$B$5&gt;=0),Inputs!$B$5/Inputs!$B$27,"PENDING"),0),"PENDING"),"PENDING")</f>
        <v>3076.9230769230771</v>
      </c>
      <c r="D30" s="11">
        <f>IFERROR(IF(Inputs!$B$36="OK",IF(A30&lt;=Inputs!$B$6,IF(AND(ISNUMBER(Inputs!$B$21),Inputs!$B$21=INT(Inputs!$B$21),Inputs!$B$21&gt;=1,Inputs!$B$21&lt;=53,IF(A30&lt;Inputs!$B$21,ISNUMBER(Inputs!$B$20),ISNUMBER(Inputs!$B$22)),IF(A30&lt;Inputs!$B$21,Inputs!$B$20,Inputs!$B$22)&gt;=0,IF(A30&lt;Inputs!$B$21,Inputs!$B$20,Inputs!$B$22)&lt;=1),IF(A30&lt;Inputs!$B$21,Inputs!$B$20,Inputs!$B$22),"PENDING"),0),"PENDING"),"PENDING")</f>
        <v>0.06</v>
      </c>
      <c r="E30" s="9">
        <f>IFERROR(IF(Inputs!$B$36="OK",IF(A30&lt;=Inputs!$B$6,IF(AND(AND(ISNUMBER(C30),C30&gt;=0),AND(ISNUMBER(D30),D30&gt;=0,D30&lt;=1)),C30*D30,"PENDING"),0),"PENDING"),"PENDING")</f>
        <v>184.61538461538461</v>
      </c>
      <c r="F30" s="9">
        <f>IFERROR(IF(Inputs!$B$36="OK",IF(A30&lt;=Inputs!$B$6,IF(AND(ISNUMBER(E30),AND(ISNUMBER(Inputs!$B$23),Inputs!$B$23&gt;=0,Inputs!$B$23&lt;=1)),E30*(1-Inputs!$B$23),"PENDING"),0),"PENDING"),"PENDING")</f>
        <v>184.61538461538461</v>
      </c>
      <c r="G30" s="9">
        <f>IFERROR(IF(Inputs!$B$36="OK",IF(A30&lt;=Inputs!$B$6,IF(AND(ISNUMBER(E30),AND(ISNUMBER(Inputs!$B$23),Inputs!$B$23&gt;=0,Inputs!$B$23&lt;=1)),E30*Inputs!$B$23,"PENDING"),0),"PENDING"),"PENDING")</f>
        <v>0</v>
      </c>
      <c r="H30" s="9">
        <f>IFERROR(IF(Inputs!$B$36="OK",IF(A30&lt;=Inputs!$B$6,IF(AND(ISNUMBER(E30),ISNUMBER(C30),AND(Inputs!$B$14=1,AND(ISNUMBER(Inputs!$B$15),Inputs!$B$15&gt;=0,Inputs!$B$15&lt;=10),AND(ISNUMBER(Inputs!$B$16),Inputs!$B$16&gt;=0,Inputs!$B$16&lt;=1))),MIN(E30,C30*Inputs!$B$16)*Inputs!$B$15,"UNKNOWN MATCH"),0),"UNKNOWN MATCH"),"UNKNOWN MATCH")</f>
        <v>92.307692307692307</v>
      </c>
      <c r="I30" s="9">
        <f>IFERROR(IF(Inputs!$B$36="OK",IF(A30&lt;=Inputs!$B$6,IF(AND(ISNUMBER(H30),AND(ISNUMBER(Inputs!$B$17),Inputs!$B$17&gt;=0,Inputs!$B$17&lt;=1)),H30*Inputs!$B$17,"UNKNOWN VESTING"),0),"UNKNOWN VESTING"),"UNKNOWN VESTING")</f>
        <v>92.307692307692307</v>
      </c>
      <c r="J30" s="5">
        <v>150</v>
      </c>
      <c r="K30" s="2" t="str">
        <f>IFERROR(IF(Inputs!$B$36="OK",IF(A30&lt;=Inputs!$B$6,IF(AND(ISNUMBER(B30),ISNUMBER(Inputs!$B$4),YEAR(B30)=Inputs!$B$4),"OK","FIX DATE"),""),"PENDING"),"PENDING")</f>
        <v>OK</v>
      </c>
      <c r="L30" s="9">
        <f>IFERROR(IF(Inputs!$B$36="OK",IF(A30&lt;=Inputs!$B$6,IF(ISNUMBER(H30),MAX(0,C30*Inputs!$B$16*Inputs!$B$15-H30),"UNKNOWN MATCH"),0),"UNKNOWN MATCH"),"UNKNOWN MATCH")</f>
        <v>0</v>
      </c>
      <c r="M30" s="28">
        <f>IFERROR(IF(OR(NOT(A30&lt;=Inputs!$B$6),K30="OK"),IF(A30&lt;=Inputs!$B$6,MONTH(B30),0),"PENDING"),"PENDING")</f>
        <v>12</v>
      </c>
      <c r="N30" s="28" t="str">
        <f>IFERROR(IF(Inputs!$B$36="OK",IF(A30&lt;=Inputs!$B$6,IF(AND(K30="OK",Inputs!$B$37="OK",M30&gt;=Inputs!$B$32,M30&lt;=Inputs!$B$33),"OK","FIX PERIOD"),""),"PENDING"),"PENDING")</f>
        <v>OK</v>
      </c>
    </row>
    <row r="31" spans="1:14" ht="27.95" customHeight="1" x14ac:dyDescent="0.25">
      <c r="A31" s="2">
        <v>27</v>
      </c>
      <c r="B31" s="6" t="str">
        <f>IFERROR(IF(AND(Inputs!$B$36="OK",COUNT(Inputs!$B$7:$B$8)=2,Inputs!$B$7&gt;0,Inputs!$B$8&gt;=1),IF(A31&lt;=Inputs!$B$6,Inputs!$B$7+(A31-1)*Inputs!$B$8,""),"PENDING"),"PENDING")</f>
        <v/>
      </c>
      <c r="C31" s="5">
        <f>IFERROR(IF(Inputs!$B$36="OK",IF(A31&lt;=Inputs!$B$6,IF(AND(ISNUMBER(Inputs!$B$5),Inputs!$B$5&gt;=0),Inputs!$B$5/Inputs!$B$27,"PENDING"),0),"PENDING"),"PENDING")</f>
        <v>0</v>
      </c>
      <c r="D31" s="11">
        <f>IFERROR(IF(Inputs!$B$36="OK",IF(A31&lt;=Inputs!$B$6,IF(AND(ISNUMBER(Inputs!$B$21),Inputs!$B$21=INT(Inputs!$B$21),Inputs!$B$21&gt;=1,Inputs!$B$21&lt;=53,IF(A31&lt;Inputs!$B$21,ISNUMBER(Inputs!$B$20),ISNUMBER(Inputs!$B$22)),IF(A31&lt;Inputs!$B$21,Inputs!$B$20,Inputs!$B$22)&gt;=0,IF(A31&lt;Inputs!$B$21,Inputs!$B$20,Inputs!$B$22)&lt;=1),IF(A31&lt;Inputs!$B$21,Inputs!$B$20,Inputs!$B$22),"PENDING"),0),"PENDING"),"PENDING")</f>
        <v>0</v>
      </c>
      <c r="E31" s="9">
        <f>IFERROR(IF(Inputs!$B$36="OK",IF(A31&lt;=Inputs!$B$6,IF(AND(AND(ISNUMBER(C31),C31&gt;=0),AND(ISNUMBER(D31),D31&gt;=0,D31&lt;=1)),C31*D31,"PENDING"),0),"PENDING"),"PENDING")</f>
        <v>0</v>
      </c>
      <c r="F31" s="9">
        <f>IFERROR(IF(Inputs!$B$36="OK",IF(A31&lt;=Inputs!$B$6,IF(AND(ISNUMBER(E31),AND(ISNUMBER(Inputs!$B$23),Inputs!$B$23&gt;=0,Inputs!$B$23&lt;=1)),E31*(1-Inputs!$B$23),"PENDING"),0),"PENDING"),"PENDING")</f>
        <v>0</v>
      </c>
      <c r="G31" s="9">
        <f>IFERROR(IF(Inputs!$B$36="OK",IF(A31&lt;=Inputs!$B$6,IF(AND(ISNUMBER(E31),AND(ISNUMBER(Inputs!$B$23),Inputs!$B$23&gt;=0,Inputs!$B$23&lt;=1)),E31*Inputs!$B$23,"PENDING"),0),"PENDING"),"PENDING")</f>
        <v>0</v>
      </c>
      <c r="H31" s="9">
        <f>IFERROR(IF(Inputs!$B$36="OK",IF(A31&lt;=Inputs!$B$6,IF(AND(ISNUMBER(E31),ISNUMBER(C31),AND(Inputs!$B$14=1,AND(ISNUMBER(Inputs!$B$15),Inputs!$B$15&gt;=0,Inputs!$B$15&lt;=10),AND(ISNUMBER(Inputs!$B$16),Inputs!$B$16&gt;=0,Inputs!$B$16&lt;=1))),MIN(E31,C31*Inputs!$B$16)*Inputs!$B$15,"UNKNOWN MATCH"),0),"UNKNOWN MATCH"),"UNKNOWN MATCH")</f>
        <v>0</v>
      </c>
      <c r="I31" s="9">
        <f>IFERROR(IF(Inputs!$B$36="OK",IF(A31&lt;=Inputs!$B$6,IF(AND(ISNUMBER(H31),AND(ISNUMBER(Inputs!$B$17),Inputs!$B$17&gt;=0,Inputs!$B$17&lt;=1)),H31*Inputs!$B$17,"UNKNOWN VESTING"),0),"UNKNOWN VESTING"),"UNKNOWN VESTING")</f>
        <v>0</v>
      </c>
      <c r="J31" s="5"/>
      <c r="K31" s="2" t="str">
        <f>IFERROR(IF(Inputs!$B$36="OK",IF(A31&lt;=Inputs!$B$6,IF(AND(ISNUMBER(B31),ISNUMBER(Inputs!$B$4),YEAR(B31)=Inputs!$B$4),"OK","FIX DATE"),""),"PENDING"),"PENDING")</f>
        <v/>
      </c>
      <c r="L31" s="9">
        <f>IFERROR(IF(Inputs!$B$36="OK",IF(A31&lt;=Inputs!$B$6,IF(ISNUMBER(H31),MAX(0,C31*Inputs!$B$16*Inputs!$B$15-H31),"UNKNOWN MATCH"),0),"UNKNOWN MATCH"),"UNKNOWN MATCH")</f>
        <v>0</v>
      </c>
      <c r="M31" s="28">
        <f>IFERROR(IF(OR(NOT(A31&lt;=Inputs!$B$6),K31="OK"),IF(A31&lt;=Inputs!$B$6,MONTH(B31),0),"PENDING"),"PENDING")</f>
        <v>0</v>
      </c>
      <c r="N31" s="28" t="str">
        <f>IFERROR(IF(Inputs!$B$36="OK",IF(A31&lt;=Inputs!$B$6,IF(AND(K31="OK",Inputs!$B$37="OK",M31&gt;=Inputs!$B$32,M31&lt;=Inputs!$B$33),"OK","FIX PERIOD"),""),"PENDING"),"PENDING")</f>
        <v/>
      </c>
    </row>
    <row r="32" spans="1:14" ht="27.95" customHeight="1" x14ac:dyDescent="0.25">
      <c r="A32" s="2">
        <v>28</v>
      </c>
      <c r="B32" s="6" t="str">
        <f>IFERROR(IF(AND(Inputs!$B$36="OK",COUNT(Inputs!$B$7:$B$8)=2,Inputs!$B$7&gt;0,Inputs!$B$8&gt;=1),IF(A32&lt;=Inputs!$B$6,Inputs!$B$7+(A32-1)*Inputs!$B$8,""),"PENDING"),"PENDING")</f>
        <v/>
      </c>
      <c r="C32" s="5">
        <f>IFERROR(IF(Inputs!$B$36="OK",IF(A32&lt;=Inputs!$B$6,IF(AND(ISNUMBER(Inputs!$B$5),Inputs!$B$5&gt;=0),Inputs!$B$5/Inputs!$B$27,"PENDING"),0),"PENDING"),"PENDING")</f>
        <v>0</v>
      </c>
      <c r="D32" s="11">
        <f>IFERROR(IF(Inputs!$B$36="OK",IF(A32&lt;=Inputs!$B$6,IF(AND(ISNUMBER(Inputs!$B$21),Inputs!$B$21=INT(Inputs!$B$21),Inputs!$B$21&gt;=1,Inputs!$B$21&lt;=53,IF(A32&lt;Inputs!$B$21,ISNUMBER(Inputs!$B$20),ISNUMBER(Inputs!$B$22)),IF(A32&lt;Inputs!$B$21,Inputs!$B$20,Inputs!$B$22)&gt;=0,IF(A32&lt;Inputs!$B$21,Inputs!$B$20,Inputs!$B$22)&lt;=1),IF(A32&lt;Inputs!$B$21,Inputs!$B$20,Inputs!$B$22),"PENDING"),0),"PENDING"),"PENDING")</f>
        <v>0</v>
      </c>
      <c r="E32" s="9">
        <f>IFERROR(IF(Inputs!$B$36="OK",IF(A32&lt;=Inputs!$B$6,IF(AND(AND(ISNUMBER(C32),C32&gt;=0),AND(ISNUMBER(D32),D32&gt;=0,D32&lt;=1)),C32*D32,"PENDING"),0),"PENDING"),"PENDING")</f>
        <v>0</v>
      </c>
      <c r="F32" s="9">
        <f>IFERROR(IF(Inputs!$B$36="OK",IF(A32&lt;=Inputs!$B$6,IF(AND(ISNUMBER(E32),AND(ISNUMBER(Inputs!$B$23),Inputs!$B$23&gt;=0,Inputs!$B$23&lt;=1)),E32*(1-Inputs!$B$23),"PENDING"),0),"PENDING"),"PENDING")</f>
        <v>0</v>
      </c>
      <c r="G32" s="9">
        <f>IFERROR(IF(Inputs!$B$36="OK",IF(A32&lt;=Inputs!$B$6,IF(AND(ISNUMBER(E32),AND(ISNUMBER(Inputs!$B$23),Inputs!$B$23&gt;=0,Inputs!$B$23&lt;=1)),E32*Inputs!$B$23,"PENDING"),0),"PENDING"),"PENDING")</f>
        <v>0</v>
      </c>
      <c r="H32" s="9">
        <f>IFERROR(IF(Inputs!$B$36="OK",IF(A32&lt;=Inputs!$B$6,IF(AND(ISNUMBER(E32),ISNUMBER(C32),AND(Inputs!$B$14=1,AND(ISNUMBER(Inputs!$B$15),Inputs!$B$15&gt;=0,Inputs!$B$15&lt;=10),AND(ISNUMBER(Inputs!$B$16),Inputs!$B$16&gt;=0,Inputs!$B$16&lt;=1))),MIN(E32,C32*Inputs!$B$16)*Inputs!$B$15,"UNKNOWN MATCH"),0),"UNKNOWN MATCH"),"UNKNOWN MATCH")</f>
        <v>0</v>
      </c>
      <c r="I32" s="9">
        <f>IFERROR(IF(Inputs!$B$36="OK",IF(A32&lt;=Inputs!$B$6,IF(AND(ISNUMBER(H32),AND(ISNUMBER(Inputs!$B$17),Inputs!$B$17&gt;=0,Inputs!$B$17&lt;=1)),H32*Inputs!$B$17,"UNKNOWN VESTING"),0),"UNKNOWN VESTING"),"UNKNOWN VESTING")</f>
        <v>0</v>
      </c>
      <c r="J32" s="5"/>
      <c r="K32" s="2" t="str">
        <f>IFERROR(IF(Inputs!$B$36="OK",IF(A32&lt;=Inputs!$B$6,IF(AND(ISNUMBER(B32),ISNUMBER(Inputs!$B$4),YEAR(B32)=Inputs!$B$4),"OK","FIX DATE"),""),"PENDING"),"PENDING")</f>
        <v/>
      </c>
      <c r="L32" s="9">
        <f>IFERROR(IF(Inputs!$B$36="OK",IF(A32&lt;=Inputs!$B$6,IF(ISNUMBER(H32),MAX(0,C32*Inputs!$B$16*Inputs!$B$15-H32),"UNKNOWN MATCH"),0),"UNKNOWN MATCH"),"UNKNOWN MATCH")</f>
        <v>0</v>
      </c>
      <c r="M32" s="28">
        <f>IFERROR(IF(OR(NOT(A32&lt;=Inputs!$B$6),K32="OK"),IF(A32&lt;=Inputs!$B$6,MONTH(B32),0),"PENDING"),"PENDING")</f>
        <v>0</v>
      </c>
      <c r="N32" s="28" t="str">
        <f>IFERROR(IF(Inputs!$B$36="OK",IF(A32&lt;=Inputs!$B$6,IF(AND(K32="OK",Inputs!$B$37="OK",M32&gt;=Inputs!$B$32,M32&lt;=Inputs!$B$33),"OK","FIX PERIOD"),""),"PENDING"),"PENDING")</f>
        <v/>
      </c>
    </row>
    <row r="33" spans="1:14" ht="27.95" customHeight="1" x14ac:dyDescent="0.25">
      <c r="A33" s="2">
        <v>29</v>
      </c>
      <c r="B33" s="6" t="str">
        <f>IFERROR(IF(AND(Inputs!$B$36="OK",COUNT(Inputs!$B$7:$B$8)=2,Inputs!$B$7&gt;0,Inputs!$B$8&gt;=1),IF(A33&lt;=Inputs!$B$6,Inputs!$B$7+(A33-1)*Inputs!$B$8,""),"PENDING"),"PENDING")</f>
        <v/>
      </c>
      <c r="C33" s="5">
        <f>IFERROR(IF(Inputs!$B$36="OK",IF(A33&lt;=Inputs!$B$6,IF(AND(ISNUMBER(Inputs!$B$5),Inputs!$B$5&gt;=0),Inputs!$B$5/Inputs!$B$27,"PENDING"),0),"PENDING"),"PENDING")</f>
        <v>0</v>
      </c>
      <c r="D33" s="11">
        <f>IFERROR(IF(Inputs!$B$36="OK",IF(A33&lt;=Inputs!$B$6,IF(AND(ISNUMBER(Inputs!$B$21),Inputs!$B$21=INT(Inputs!$B$21),Inputs!$B$21&gt;=1,Inputs!$B$21&lt;=53,IF(A33&lt;Inputs!$B$21,ISNUMBER(Inputs!$B$20),ISNUMBER(Inputs!$B$22)),IF(A33&lt;Inputs!$B$21,Inputs!$B$20,Inputs!$B$22)&gt;=0,IF(A33&lt;Inputs!$B$21,Inputs!$B$20,Inputs!$B$22)&lt;=1),IF(A33&lt;Inputs!$B$21,Inputs!$B$20,Inputs!$B$22),"PENDING"),0),"PENDING"),"PENDING")</f>
        <v>0</v>
      </c>
      <c r="E33" s="9">
        <f>IFERROR(IF(Inputs!$B$36="OK",IF(A33&lt;=Inputs!$B$6,IF(AND(AND(ISNUMBER(C33),C33&gt;=0),AND(ISNUMBER(D33),D33&gt;=0,D33&lt;=1)),C33*D33,"PENDING"),0),"PENDING"),"PENDING")</f>
        <v>0</v>
      </c>
      <c r="F33" s="9">
        <f>IFERROR(IF(Inputs!$B$36="OK",IF(A33&lt;=Inputs!$B$6,IF(AND(ISNUMBER(E33),AND(ISNUMBER(Inputs!$B$23),Inputs!$B$23&gt;=0,Inputs!$B$23&lt;=1)),E33*(1-Inputs!$B$23),"PENDING"),0),"PENDING"),"PENDING")</f>
        <v>0</v>
      </c>
      <c r="G33" s="9">
        <f>IFERROR(IF(Inputs!$B$36="OK",IF(A33&lt;=Inputs!$B$6,IF(AND(ISNUMBER(E33),AND(ISNUMBER(Inputs!$B$23),Inputs!$B$23&gt;=0,Inputs!$B$23&lt;=1)),E33*Inputs!$B$23,"PENDING"),0),"PENDING"),"PENDING")</f>
        <v>0</v>
      </c>
      <c r="H33" s="9">
        <f>IFERROR(IF(Inputs!$B$36="OK",IF(A33&lt;=Inputs!$B$6,IF(AND(ISNUMBER(E33),ISNUMBER(C33),AND(Inputs!$B$14=1,AND(ISNUMBER(Inputs!$B$15),Inputs!$B$15&gt;=0,Inputs!$B$15&lt;=10),AND(ISNUMBER(Inputs!$B$16),Inputs!$B$16&gt;=0,Inputs!$B$16&lt;=1))),MIN(E33,C33*Inputs!$B$16)*Inputs!$B$15,"UNKNOWN MATCH"),0),"UNKNOWN MATCH"),"UNKNOWN MATCH")</f>
        <v>0</v>
      </c>
      <c r="I33" s="9">
        <f>IFERROR(IF(Inputs!$B$36="OK",IF(A33&lt;=Inputs!$B$6,IF(AND(ISNUMBER(H33),AND(ISNUMBER(Inputs!$B$17),Inputs!$B$17&gt;=0,Inputs!$B$17&lt;=1)),H33*Inputs!$B$17,"UNKNOWN VESTING"),0),"UNKNOWN VESTING"),"UNKNOWN VESTING")</f>
        <v>0</v>
      </c>
      <c r="J33" s="5"/>
      <c r="K33" s="2" t="str">
        <f>IFERROR(IF(Inputs!$B$36="OK",IF(A33&lt;=Inputs!$B$6,IF(AND(ISNUMBER(B33),ISNUMBER(Inputs!$B$4),YEAR(B33)=Inputs!$B$4),"OK","FIX DATE"),""),"PENDING"),"PENDING")</f>
        <v/>
      </c>
      <c r="L33" s="9">
        <f>IFERROR(IF(Inputs!$B$36="OK",IF(A33&lt;=Inputs!$B$6,IF(ISNUMBER(H33),MAX(0,C33*Inputs!$B$16*Inputs!$B$15-H33),"UNKNOWN MATCH"),0),"UNKNOWN MATCH"),"UNKNOWN MATCH")</f>
        <v>0</v>
      </c>
      <c r="M33" s="28">
        <f>IFERROR(IF(OR(NOT(A33&lt;=Inputs!$B$6),K33="OK"),IF(A33&lt;=Inputs!$B$6,MONTH(B33),0),"PENDING"),"PENDING")</f>
        <v>0</v>
      </c>
      <c r="N33" s="28" t="str">
        <f>IFERROR(IF(Inputs!$B$36="OK",IF(A33&lt;=Inputs!$B$6,IF(AND(K33="OK",Inputs!$B$37="OK",M33&gt;=Inputs!$B$32,M33&lt;=Inputs!$B$33),"OK","FIX PERIOD"),""),"PENDING"),"PENDING")</f>
        <v/>
      </c>
    </row>
    <row r="34" spans="1:14" ht="27.95" customHeight="1" x14ac:dyDescent="0.25">
      <c r="A34" s="2">
        <v>30</v>
      </c>
      <c r="B34" s="6" t="str">
        <f>IFERROR(IF(AND(Inputs!$B$36="OK",COUNT(Inputs!$B$7:$B$8)=2,Inputs!$B$7&gt;0,Inputs!$B$8&gt;=1),IF(A34&lt;=Inputs!$B$6,Inputs!$B$7+(A34-1)*Inputs!$B$8,""),"PENDING"),"PENDING")</f>
        <v/>
      </c>
      <c r="C34" s="5">
        <f>IFERROR(IF(Inputs!$B$36="OK",IF(A34&lt;=Inputs!$B$6,IF(AND(ISNUMBER(Inputs!$B$5),Inputs!$B$5&gt;=0),Inputs!$B$5/Inputs!$B$27,"PENDING"),0),"PENDING"),"PENDING")</f>
        <v>0</v>
      </c>
      <c r="D34" s="11">
        <f>IFERROR(IF(Inputs!$B$36="OK",IF(A34&lt;=Inputs!$B$6,IF(AND(ISNUMBER(Inputs!$B$21),Inputs!$B$21=INT(Inputs!$B$21),Inputs!$B$21&gt;=1,Inputs!$B$21&lt;=53,IF(A34&lt;Inputs!$B$21,ISNUMBER(Inputs!$B$20),ISNUMBER(Inputs!$B$22)),IF(A34&lt;Inputs!$B$21,Inputs!$B$20,Inputs!$B$22)&gt;=0,IF(A34&lt;Inputs!$B$21,Inputs!$B$20,Inputs!$B$22)&lt;=1),IF(A34&lt;Inputs!$B$21,Inputs!$B$20,Inputs!$B$22),"PENDING"),0),"PENDING"),"PENDING")</f>
        <v>0</v>
      </c>
      <c r="E34" s="9">
        <f>IFERROR(IF(Inputs!$B$36="OK",IF(A34&lt;=Inputs!$B$6,IF(AND(AND(ISNUMBER(C34),C34&gt;=0),AND(ISNUMBER(D34),D34&gt;=0,D34&lt;=1)),C34*D34,"PENDING"),0),"PENDING"),"PENDING")</f>
        <v>0</v>
      </c>
      <c r="F34" s="9">
        <f>IFERROR(IF(Inputs!$B$36="OK",IF(A34&lt;=Inputs!$B$6,IF(AND(ISNUMBER(E34),AND(ISNUMBER(Inputs!$B$23),Inputs!$B$23&gt;=0,Inputs!$B$23&lt;=1)),E34*(1-Inputs!$B$23),"PENDING"),0),"PENDING"),"PENDING")</f>
        <v>0</v>
      </c>
      <c r="G34" s="9">
        <f>IFERROR(IF(Inputs!$B$36="OK",IF(A34&lt;=Inputs!$B$6,IF(AND(ISNUMBER(E34),AND(ISNUMBER(Inputs!$B$23),Inputs!$B$23&gt;=0,Inputs!$B$23&lt;=1)),E34*Inputs!$B$23,"PENDING"),0),"PENDING"),"PENDING")</f>
        <v>0</v>
      </c>
      <c r="H34" s="9">
        <f>IFERROR(IF(Inputs!$B$36="OK",IF(A34&lt;=Inputs!$B$6,IF(AND(ISNUMBER(E34),ISNUMBER(C34),AND(Inputs!$B$14=1,AND(ISNUMBER(Inputs!$B$15),Inputs!$B$15&gt;=0,Inputs!$B$15&lt;=10),AND(ISNUMBER(Inputs!$B$16),Inputs!$B$16&gt;=0,Inputs!$B$16&lt;=1))),MIN(E34,C34*Inputs!$B$16)*Inputs!$B$15,"UNKNOWN MATCH"),0),"UNKNOWN MATCH"),"UNKNOWN MATCH")</f>
        <v>0</v>
      </c>
      <c r="I34" s="9">
        <f>IFERROR(IF(Inputs!$B$36="OK",IF(A34&lt;=Inputs!$B$6,IF(AND(ISNUMBER(H34),AND(ISNUMBER(Inputs!$B$17),Inputs!$B$17&gt;=0,Inputs!$B$17&lt;=1)),H34*Inputs!$B$17,"UNKNOWN VESTING"),0),"UNKNOWN VESTING"),"UNKNOWN VESTING")</f>
        <v>0</v>
      </c>
      <c r="J34" s="5"/>
      <c r="K34" s="2" t="str">
        <f>IFERROR(IF(Inputs!$B$36="OK",IF(A34&lt;=Inputs!$B$6,IF(AND(ISNUMBER(B34),ISNUMBER(Inputs!$B$4),YEAR(B34)=Inputs!$B$4),"OK","FIX DATE"),""),"PENDING"),"PENDING")</f>
        <v/>
      </c>
      <c r="L34" s="9">
        <f>IFERROR(IF(Inputs!$B$36="OK",IF(A34&lt;=Inputs!$B$6,IF(ISNUMBER(H34),MAX(0,C34*Inputs!$B$16*Inputs!$B$15-H34),"UNKNOWN MATCH"),0),"UNKNOWN MATCH"),"UNKNOWN MATCH")</f>
        <v>0</v>
      </c>
      <c r="M34" s="28">
        <f>IFERROR(IF(OR(NOT(A34&lt;=Inputs!$B$6),K34="OK"),IF(A34&lt;=Inputs!$B$6,MONTH(B34),0),"PENDING"),"PENDING")</f>
        <v>0</v>
      </c>
      <c r="N34" s="28" t="str">
        <f>IFERROR(IF(Inputs!$B$36="OK",IF(A34&lt;=Inputs!$B$6,IF(AND(K34="OK",Inputs!$B$37="OK",M34&gt;=Inputs!$B$32,M34&lt;=Inputs!$B$33),"OK","FIX PERIOD"),""),"PENDING"),"PENDING")</f>
        <v/>
      </c>
    </row>
    <row r="35" spans="1:14" ht="27.95" customHeight="1" x14ac:dyDescent="0.25">
      <c r="A35" s="2">
        <v>31</v>
      </c>
      <c r="B35" s="6" t="str">
        <f>IFERROR(IF(AND(Inputs!$B$36="OK",COUNT(Inputs!$B$7:$B$8)=2,Inputs!$B$7&gt;0,Inputs!$B$8&gt;=1),IF(A35&lt;=Inputs!$B$6,Inputs!$B$7+(A35-1)*Inputs!$B$8,""),"PENDING"),"PENDING")</f>
        <v/>
      </c>
      <c r="C35" s="5">
        <f>IFERROR(IF(Inputs!$B$36="OK",IF(A35&lt;=Inputs!$B$6,IF(AND(ISNUMBER(Inputs!$B$5),Inputs!$B$5&gt;=0),Inputs!$B$5/Inputs!$B$27,"PENDING"),0),"PENDING"),"PENDING")</f>
        <v>0</v>
      </c>
      <c r="D35" s="11">
        <f>IFERROR(IF(Inputs!$B$36="OK",IF(A35&lt;=Inputs!$B$6,IF(AND(ISNUMBER(Inputs!$B$21),Inputs!$B$21=INT(Inputs!$B$21),Inputs!$B$21&gt;=1,Inputs!$B$21&lt;=53,IF(A35&lt;Inputs!$B$21,ISNUMBER(Inputs!$B$20),ISNUMBER(Inputs!$B$22)),IF(A35&lt;Inputs!$B$21,Inputs!$B$20,Inputs!$B$22)&gt;=0,IF(A35&lt;Inputs!$B$21,Inputs!$B$20,Inputs!$B$22)&lt;=1),IF(A35&lt;Inputs!$B$21,Inputs!$B$20,Inputs!$B$22),"PENDING"),0),"PENDING"),"PENDING")</f>
        <v>0</v>
      </c>
      <c r="E35" s="9">
        <f>IFERROR(IF(Inputs!$B$36="OK",IF(A35&lt;=Inputs!$B$6,IF(AND(AND(ISNUMBER(C35),C35&gt;=0),AND(ISNUMBER(D35),D35&gt;=0,D35&lt;=1)),C35*D35,"PENDING"),0),"PENDING"),"PENDING")</f>
        <v>0</v>
      </c>
      <c r="F35" s="9">
        <f>IFERROR(IF(Inputs!$B$36="OK",IF(A35&lt;=Inputs!$B$6,IF(AND(ISNUMBER(E35),AND(ISNUMBER(Inputs!$B$23),Inputs!$B$23&gt;=0,Inputs!$B$23&lt;=1)),E35*(1-Inputs!$B$23),"PENDING"),0),"PENDING"),"PENDING")</f>
        <v>0</v>
      </c>
      <c r="G35" s="9">
        <f>IFERROR(IF(Inputs!$B$36="OK",IF(A35&lt;=Inputs!$B$6,IF(AND(ISNUMBER(E35),AND(ISNUMBER(Inputs!$B$23),Inputs!$B$23&gt;=0,Inputs!$B$23&lt;=1)),E35*Inputs!$B$23,"PENDING"),0),"PENDING"),"PENDING")</f>
        <v>0</v>
      </c>
      <c r="H35" s="9">
        <f>IFERROR(IF(Inputs!$B$36="OK",IF(A35&lt;=Inputs!$B$6,IF(AND(ISNUMBER(E35),ISNUMBER(C35),AND(Inputs!$B$14=1,AND(ISNUMBER(Inputs!$B$15),Inputs!$B$15&gt;=0,Inputs!$B$15&lt;=10),AND(ISNUMBER(Inputs!$B$16),Inputs!$B$16&gt;=0,Inputs!$B$16&lt;=1))),MIN(E35,C35*Inputs!$B$16)*Inputs!$B$15,"UNKNOWN MATCH"),0),"UNKNOWN MATCH"),"UNKNOWN MATCH")</f>
        <v>0</v>
      </c>
      <c r="I35" s="9">
        <f>IFERROR(IF(Inputs!$B$36="OK",IF(A35&lt;=Inputs!$B$6,IF(AND(ISNUMBER(H35),AND(ISNUMBER(Inputs!$B$17),Inputs!$B$17&gt;=0,Inputs!$B$17&lt;=1)),H35*Inputs!$B$17,"UNKNOWN VESTING"),0),"UNKNOWN VESTING"),"UNKNOWN VESTING")</f>
        <v>0</v>
      </c>
      <c r="J35" s="5"/>
      <c r="K35" s="2" t="str">
        <f>IFERROR(IF(Inputs!$B$36="OK",IF(A35&lt;=Inputs!$B$6,IF(AND(ISNUMBER(B35),ISNUMBER(Inputs!$B$4),YEAR(B35)=Inputs!$B$4),"OK","FIX DATE"),""),"PENDING"),"PENDING")</f>
        <v/>
      </c>
      <c r="L35" s="9">
        <f>IFERROR(IF(Inputs!$B$36="OK",IF(A35&lt;=Inputs!$B$6,IF(ISNUMBER(H35),MAX(0,C35*Inputs!$B$16*Inputs!$B$15-H35),"UNKNOWN MATCH"),0),"UNKNOWN MATCH"),"UNKNOWN MATCH")</f>
        <v>0</v>
      </c>
      <c r="M35" s="28">
        <f>IFERROR(IF(OR(NOT(A35&lt;=Inputs!$B$6),K35="OK"),IF(A35&lt;=Inputs!$B$6,MONTH(B35),0),"PENDING"),"PENDING")</f>
        <v>0</v>
      </c>
      <c r="N35" s="28" t="str">
        <f>IFERROR(IF(Inputs!$B$36="OK",IF(A35&lt;=Inputs!$B$6,IF(AND(K35="OK",Inputs!$B$37="OK",M35&gt;=Inputs!$B$32,M35&lt;=Inputs!$B$33),"OK","FIX PERIOD"),""),"PENDING"),"PENDING")</f>
        <v/>
      </c>
    </row>
    <row r="36" spans="1:14" ht="27.95" customHeight="1" x14ac:dyDescent="0.25">
      <c r="A36" s="2">
        <v>32</v>
      </c>
      <c r="B36" s="6" t="str">
        <f>IFERROR(IF(AND(Inputs!$B$36="OK",COUNT(Inputs!$B$7:$B$8)=2,Inputs!$B$7&gt;0,Inputs!$B$8&gt;=1),IF(A36&lt;=Inputs!$B$6,Inputs!$B$7+(A36-1)*Inputs!$B$8,""),"PENDING"),"PENDING")</f>
        <v/>
      </c>
      <c r="C36" s="5">
        <f>IFERROR(IF(Inputs!$B$36="OK",IF(A36&lt;=Inputs!$B$6,IF(AND(ISNUMBER(Inputs!$B$5),Inputs!$B$5&gt;=0),Inputs!$B$5/Inputs!$B$27,"PENDING"),0),"PENDING"),"PENDING")</f>
        <v>0</v>
      </c>
      <c r="D36" s="11">
        <f>IFERROR(IF(Inputs!$B$36="OK",IF(A36&lt;=Inputs!$B$6,IF(AND(ISNUMBER(Inputs!$B$21),Inputs!$B$21=INT(Inputs!$B$21),Inputs!$B$21&gt;=1,Inputs!$B$21&lt;=53,IF(A36&lt;Inputs!$B$21,ISNUMBER(Inputs!$B$20),ISNUMBER(Inputs!$B$22)),IF(A36&lt;Inputs!$B$21,Inputs!$B$20,Inputs!$B$22)&gt;=0,IF(A36&lt;Inputs!$B$21,Inputs!$B$20,Inputs!$B$22)&lt;=1),IF(A36&lt;Inputs!$B$21,Inputs!$B$20,Inputs!$B$22),"PENDING"),0),"PENDING"),"PENDING")</f>
        <v>0</v>
      </c>
      <c r="E36" s="9">
        <f>IFERROR(IF(Inputs!$B$36="OK",IF(A36&lt;=Inputs!$B$6,IF(AND(AND(ISNUMBER(C36),C36&gt;=0),AND(ISNUMBER(D36),D36&gt;=0,D36&lt;=1)),C36*D36,"PENDING"),0),"PENDING"),"PENDING")</f>
        <v>0</v>
      </c>
      <c r="F36" s="9">
        <f>IFERROR(IF(Inputs!$B$36="OK",IF(A36&lt;=Inputs!$B$6,IF(AND(ISNUMBER(E36),AND(ISNUMBER(Inputs!$B$23),Inputs!$B$23&gt;=0,Inputs!$B$23&lt;=1)),E36*(1-Inputs!$B$23),"PENDING"),0),"PENDING"),"PENDING")</f>
        <v>0</v>
      </c>
      <c r="G36" s="9">
        <f>IFERROR(IF(Inputs!$B$36="OK",IF(A36&lt;=Inputs!$B$6,IF(AND(ISNUMBER(E36),AND(ISNUMBER(Inputs!$B$23),Inputs!$B$23&gt;=0,Inputs!$B$23&lt;=1)),E36*Inputs!$B$23,"PENDING"),0),"PENDING"),"PENDING")</f>
        <v>0</v>
      </c>
      <c r="H36" s="9">
        <f>IFERROR(IF(Inputs!$B$36="OK",IF(A36&lt;=Inputs!$B$6,IF(AND(ISNUMBER(E36),ISNUMBER(C36),AND(Inputs!$B$14=1,AND(ISNUMBER(Inputs!$B$15),Inputs!$B$15&gt;=0,Inputs!$B$15&lt;=10),AND(ISNUMBER(Inputs!$B$16),Inputs!$B$16&gt;=0,Inputs!$B$16&lt;=1))),MIN(E36,C36*Inputs!$B$16)*Inputs!$B$15,"UNKNOWN MATCH"),0),"UNKNOWN MATCH"),"UNKNOWN MATCH")</f>
        <v>0</v>
      </c>
      <c r="I36" s="9">
        <f>IFERROR(IF(Inputs!$B$36="OK",IF(A36&lt;=Inputs!$B$6,IF(AND(ISNUMBER(H36),AND(ISNUMBER(Inputs!$B$17),Inputs!$B$17&gt;=0,Inputs!$B$17&lt;=1)),H36*Inputs!$B$17,"UNKNOWN VESTING"),0),"UNKNOWN VESTING"),"UNKNOWN VESTING")</f>
        <v>0</v>
      </c>
      <c r="J36" s="5"/>
      <c r="K36" s="2" t="str">
        <f>IFERROR(IF(Inputs!$B$36="OK",IF(A36&lt;=Inputs!$B$6,IF(AND(ISNUMBER(B36),ISNUMBER(Inputs!$B$4),YEAR(B36)=Inputs!$B$4),"OK","FIX DATE"),""),"PENDING"),"PENDING")</f>
        <v/>
      </c>
      <c r="L36" s="9">
        <f>IFERROR(IF(Inputs!$B$36="OK",IF(A36&lt;=Inputs!$B$6,IF(ISNUMBER(H36),MAX(0,C36*Inputs!$B$16*Inputs!$B$15-H36),"UNKNOWN MATCH"),0),"UNKNOWN MATCH"),"UNKNOWN MATCH")</f>
        <v>0</v>
      </c>
      <c r="M36" s="28">
        <f>IFERROR(IF(OR(NOT(A36&lt;=Inputs!$B$6),K36="OK"),IF(A36&lt;=Inputs!$B$6,MONTH(B36),0),"PENDING"),"PENDING")</f>
        <v>0</v>
      </c>
      <c r="N36" s="28" t="str">
        <f>IFERROR(IF(Inputs!$B$36="OK",IF(A36&lt;=Inputs!$B$6,IF(AND(K36="OK",Inputs!$B$37="OK",M36&gt;=Inputs!$B$32,M36&lt;=Inputs!$B$33),"OK","FIX PERIOD"),""),"PENDING"),"PENDING")</f>
        <v/>
      </c>
    </row>
    <row r="37" spans="1:14" ht="27.95" customHeight="1" x14ac:dyDescent="0.25">
      <c r="A37" s="2">
        <v>33</v>
      </c>
      <c r="B37" s="6" t="str">
        <f>IFERROR(IF(AND(Inputs!$B$36="OK",COUNT(Inputs!$B$7:$B$8)=2,Inputs!$B$7&gt;0,Inputs!$B$8&gt;=1),IF(A37&lt;=Inputs!$B$6,Inputs!$B$7+(A37-1)*Inputs!$B$8,""),"PENDING"),"PENDING")</f>
        <v/>
      </c>
      <c r="C37" s="5">
        <f>IFERROR(IF(Inputs!$B$36="OK",IF(A37&lt;=Inputs!$B$6,IF(AND(ISNUMBER(Inputs!$B$5),Inputs!$B$5&gt;=0),Inputs!$B$5/Inputs!$B$27,"PENDING"),0),"PENDING"),"PENDING")</f>
        <v>0</v>
      </c>
      <c r="D37" s="11">
        <f>IFERROR(IF(Inputs!$B$36="OK",IF(A37&lt;=Inputs!$B$6,IF(AND(ISNUMBER(Inputs!$B$21),Inputs!$B$21=INT(Inputs!$B$21),Inputs!$B$21&gt;=1,Inputs!$B$21&lt;=53,IF(A37&lt;Inputs!$B$21,ISNUMBER(Inputs!$B$20),ISNUMBER(Inputs!$B$22)),IF(A37&lt;Inputs!$B$21,Inputs!$B$20,Inputs!$B$22)&gt;=0,IF(A37&lt;Inputs!$B$21,Inputs!$B$20,Inputs!$B$22)&lt;=1),IF(A37&lt;Inputs!$B$21,Inputs!$B$20,Inputs!$B$22),"PENDING"),0),"PENDING"),"PENDING")</f>
        <v>0</v>
      </c>
      <c r="E37" s="9">
        <f>IFERROR(IF(Inputs!$B$36="OK",IF(A37&lt;=Inputs!$B$6,IF(AND(AND(ISNUMBER(C37),C37&gt;=0),AND(ISNUMBER(D37),D37&gt;=0,D37&lt;=1)),C37*D37,"PENDING"),0),"PENDING"),"PENDING")</f>
        <v>0</v>
      </c>
      <c r="F37" s="9">
        <f>IFERROR(IF(Inputs!$B$36="OK",IF(A37&lt;=Inputs!$B$6,IF(AND(ISNUMBER(E37),AND(ISNUMBER(Inputs!$B$23),Inputs!$B$23&gt;=0,Inputs!$B$23&lt;=1)),E37*(1-Inputs!$B$23),"PENDING"),0),"PENDING"),"PENDING")</f>
        <v>0</v>
      </c>
      <c r="G37" s="9">
        <f>IFERROR(IF(Inputs!$B$36="OK",IF(A37&lt;=Inputs!$B$6,IF(AND(ISNUMBER(E37),AND(ISNUMBER(Inputs!$B$23),Inputs!$B$23&gt;=0,Inputs!$B$23&lt;=1)),E37*Inputs!$B$23,"PENDING"),0),"PENDING"),"PENDING")</f>
        <v>0</v>
      </c>
      <c r="H37" s="9">
        <f>IFERROR(IF(Inputs!$B$36="OK",IF(A37&lt;=Inputs!$B$6,IF(AND(ISNUMBER(E37),ISNUMBER(C37),AND(Inputs!$B$14=1,AND(ISNUMBER(Inputs!$B$15),Inputs!$B$15&gt;=0,Inputs!$B$15&lt;=10),AND(ISNUMBER(Inputs!$B$16),Inputs!$B$16&gt;=0,Inputs!$B$16&lt;=1))),MIN(E37,C37*Inputs!$B$16)*Inputs!$B$15,"UNKNOWN MATCH"),0),"UNKNOWN MATCH"),"UNKNOWN MATCH")</f>
        <v>0</v>
      </c>
      <c r="I37" s="9">
        <f>IFERROR(IF(Inputs!$B$36="OK",IF(A37&lt;=Inputs!$B$6,IF(AND(ISNUMBER(H37),AND(ISNUMBER(Inputs!$B$17),Inputs!$B$17&gt;=0,Inputs!$B$17&lt;=1)),H37*Inputs!$B$17,"UNKNOWN VESTING"),0),"UNKNOWN VESTING"),"UNKNOWN VESTING")</f>
        <v>0</v>
      </c>
      <c r="J37" s="5"/>
      <c r="K37" s="2" t="str">
        <f>IFERROR(IF(Inputs!$B$36="OK",IF(A37&lt;=Inputs!$B$6,IF(AND(ISNUMBER(B37),ISNUMBER(Inputs!$B$4),YEAR(B37)=Inputs!$B$4),"OK","FIX DATE"),""),"PENDING"),"PENDING")</f>
        <v/>
      </c>
      <c r="L37" s="9">
        <f>IFERROR(IF(Inputs!$B$36="OK",IF(A37&lt;=Inputs!$B$6,IF(ISNUMBER(H37),MAX(0,C37*Inputs!$B$16*Inputs!$B$15-H37),"UNKNOWN MATCH"),0),"UNKNOWN MATCH"),"UNKNOWN MATCH")</f>
        <v>0</v>
      </c>
      <c r="M37" s="28">
        <f>IFERROR(IF(OR(NOT(A37&lt;=Inputs!$B$6),K37="OK"),IF(A37&lt;=Inputs!$B$6,MONTH(B37),0),"PENDING"),"PENDING")</f>
        <v>0</v>
      </c>
      <c r="N37" s="28" t="str">
        <f>IFERROR(IF(Inputs!$B$36="OK",IF(A37&lt;=Inputs!$B$6,IF(AND(K37="OK",Inputs!$B$37="OK",M37&gt;=Inputs!$B$32,M37&lt;=Inputs!$B$33),"OK","FIX PERIOD"),""),"PENDING"),"PENDING")</f>
        <v/>
      </c>
    </row>
    <row r="38" spans="1:14" ht="27.95" customHeight="1" x14ac:dyDescent="0.25">
      <c r="A38" s="2">
        <v>34</v>
      </c>
      <c r="B38" s="6" t="str">
        <f>IFERROR(IF(AND(Inputs!$B$36="OK",COUNT(Inputs!$B$7:$B$8)=2,Inputs!$B$7&gt;0,Inputs!$B$8&gt;=1),IF(A38&lt;=Inputs!$B$6,Inputs!$B$7+(A38-1)*Inputs!$B$8,""),"PENDING"),"PENDING")</f>
        <v/>
      </c>
      <c r="C38" s="5">
        <f>IFERROR(IF(Inputs!$B$36="OK",IF(A38&lt;=Inputs!$B$6,IF(AND(ISNUMBER(Inputs!$B$5),Inputs!$B$5&gt;=0),Inputs!$B$5/Inputs!$B$27,"PENDING"),0),"PENDING"),"PENDING")</f>
        <v>0</v>
      </c>
      <c r="D38" s="11">
        <f>IFERROR(IF(Inputs!$B$36="OK",IF(A38&lt;=Inputs!$B$6,IF(AND(ISNUMBER(Inputs!$B$21),Inputs!$B$21=INT(Inputs!$B$21),Inputs!$B$21&gt;=1,Inputs!$B$21&lt;=53,IF(A38&lt;Inputs!$B$21,ISNUMBER(Inputs!$B$20),ISNUMBER(Inputs!$B$22)),IF(A38&lt;Inputs!$B$21,Inputs!$B$20,Inputs!$B$22)&gt;=0,IF(A38&lt;Inputs!$B$21,Inputs!$B$20,Inputs!$B$22)&lt;=1),IF(A38&lt;Inputs!$B$21,Inputs!$B$20,Inputs!$B$22),"PENDING"),0),"PENDING"),"PENDING")</f>
        <v>0</v>
      </c>
      <c r="E38" s="9">
        <f>IFERROR(IF(Inputs!$B$36="OK",IF(A38&lt;=Inputs!$B$6,IF(AND(AND(ISNUMBER(C38),C38&gt;=0),AND(ISNUMBER(D38),D38&gt;=0,D38&lt;=1)),C38*D38,"PENDING"),0),"PENDING"),"PENDING")</f>
        <v>0</v>
      </c>
      <c r="F38" s="9">
        <f>IFERROR(IF(Inputs!$B$36="OK",IF(A38&lt;=Inputs!$B$6,IF(AND(ISNUMBER(E38),AND(ISNUMBER(Inputs!$B$23),Inputs!$B$23&gt;=0,Inputs!$B$23&lt;=1)),E38*(1-Inputs!$B$23),"PENDING"),0),"PENDING"),"PENDING")</f>
        <v>0</v>
      </c>
      <c r="G38" s="9">
        <f>IFERROR(IF(Inputs!$B$36="OK",IF(A38&lt;=Inputs!$B$6,IF(AND(ISNUMBER(E38),AND(ISNUMBER(Inputs!$B$23),Inputs!$B$23&gt;=0,Inputs!$B$23&lt;=1)),E38*Inputs!$B$23,"PENDING"),0),"PENDING"),"PENDING")</f>
        <v>0</v>
      </c>
      <c r="H38" s="9">
        <f>IFERROR(IF(Inputs!$B$36="OK",IF(A38&lt;=Inputs!$B$6,IF(AND(ISNUMBER(E38),ISNUMBER(C38),AND(Inputs!$B$14=1,AND(ISNUMBER(Inputs!$B$15),Inputs!$B$15&gt;=0,Inputs!$B$15&lt;=10),AND(ISNUMBER(Inputs!$B$16),Inputs!$B$16&gt;=0,Inputs!$B$16&lt;=1))),MIN(E38,C38*Inputs!$B$16)*Inputs!$B$15,"UNKNOWN MATCH"),0),"UNKNOWN MATCH"),"UNKNOWN MATCH")</f>
        <v>0</v>
      </c>
      <c r="I38" s="9">
        <f>IFERROR(IF(Inputs!$B$36="OK",IF(A38&lt;=Inputs!$B$6,IF(AND(ISNUMBER(H38),AND(ISNUMBER(Inputs!$B$17),Inputs!$B$17&gt;=0,Inputs!$B$17&lt;=1)),H38*Inputs!$B$17,"UNKNOWN VESTING"),0),"UNKNOWN VESTING"),"UNKNOWN VESTING")</f>
        <v>0</v>
      </c>
      <c r="J38" s="5"/>
      <c r="K38" s="2" t="str">
        <f>IFERROR(IF(Inputs!$B$36="OK",IF(A38&lt;=Inputs!$B$6,IF(AND(ISNUMBER(B38),ISNUMBER(Inputs!$B$4),YEAR(B38)=Inputs!$B$4),"OK","FIX DATE"),""),"PENDING"),"PENDING")</f>
        <v/>
      </c>
      <c r="L38" s="9">
        <f>IFERROR(IF(Inputs!$B$36="OK",IF(A38&lt;=Inputs!$B$6,IF(ISNUMBER(H38),MAX(0,C38*Inputs!$B$16*Inputs!$B$15-H38),"UNKNOWN MATCH"),0),"UNKNOWN MATCH"),"UNKNOWN MATCH")</f>
        <v>0</v>
      </c>
      <c r="M38" s="28">
        <f>IFERROR(IF(OR(NOT(A38&lt;=Inputs!$B$6),K38="OK"),IF(A38&lt;=Inputs!$B$6,MONTH(B38),0),"PENDING"),"PENDING")</f>
        <v>0</v>
      </c>
      <c r="N38" s="28" t="str">
        <f>IFERROR(IF(Inputs!$B$36="OK",IF(A38&lt;=Inputs!$B$6,IF(AND(K38="OK",Inputs!$B$37="OK",M38&gt;=Inputs!$B$32,M38&lt;=Inputs!$B$33),"OK","FIX PERIOD"),""),"PENDING"),"PENDING")</f>
        <v/>
      </c>
    </row>
    <row r="39" spans="1:14" ht="27.95" customHeight="1" x14ac:dyDescent="0.25">
      <c r="A39" s="2">
        <v>35</v>
      </c>
      <c r="B39" s="6" t="str">
        <f>IFERROR(IF(AND(Inputs!$B$36="OK",COUNT(Inputs!$B$7:$B$8)=2,Inputs!$B$7&gt;0,Inputs!$B$8&gt;=1),IF(A39&lt;=Inputs!$B$6,Inputs!$B$7+(A39-1)*Inputs!$B$8,""),"PENDING"),"PENDING")</f>
        <v/>
      </c>
      <c r="C39" s="5">
        <f>IFERROR(IF(Inputs!$B$36="OK",IF(A39&lt;=Inputs!$B$6,IF(AND(ISNUMBER(Inputs!$B$5),Inputs!$B$5&gt;=0),Inputs!$B$5/Inputs!$B$27,"PENDING"),0),"PENDING"),"PENDING")</f>
        <v>0</v>
      </c>
      <c r="D39" s="11">
        <f>IFERROR(IF(Inputs!$B$36="OK",IF(A39&lt;=Inputs!$B$6,IF(AND(ISNUMBER(Inputs!$B$21),Inputs!$B$21=INT(Inputs!$B$21),Inputs!$B$21&gt;=1,Inputs!$B$21&lt;=53,IF(A39&lt;Inputs!$B$21,ISNUMBER(Inputs!$B$20),ISNUMBER(Inputs!$B$22)),IF(A39&lt;Inputs!$B$21,Inputs!$B$20,Inputs!$B$22)&gt;=0,IF(A39&lt;Inputs!$B$21,Inputs!$B$20,Inputs!$B$22)&lt;=1),IF(A39&lt;Inputs!$B$21,Inputs!$B$20,Inputs!$B$22),"PENDING"),0),"PENDING"),"PENDING")</f>
        <v>0</v>
      </c>
      <c r="E39" s="9">
        <f>IFERROR(IF(Inputs!$B$36="OK",IF(A39&lt;=Inputs!$B$6,IF(AND(AND(ISNUMBER(C39),C39&gt;=0),AND(ISNUMBER(D39),D39&gt;=0,D39&lt;=1)),C39*D39,"PENDING"),0),"PENDING"),"PENDING")</f>
        <v>0</v>
      </c>
      <c r="F39" s="9">
        <f>IFERROR(IF(Inputs!$B$36="OK",IF(A39&lt;=Inputs!$B$6,IF(AND(ISNUMBER(E39),AND(ISNUMBER(Inputs!$B$23),Inputs!$B$23&gt;=0,Inputs!$B$23&lt;=1)),E39*(1-Inputs!$B$23),"PENDING"),0),"PENDING"),"PENDING")</f>
        <v>0</v>
      </c>
      <c r="G39" s="9">
        <f>IFERROR(IF(Inputs!$B$36="OK",IF(A39&lt;=Inputs!$B$6,IF(AND(ISNUMBER(E39),AND(ISNUMBER(Inputs!$B$23),Inputs!$B$23&gt;=0,Inputs!$B$23&lt;=1)),E39*Inputs!$B$23,"PENDING"),0),"PENDING"),"PENDING")</f>
        <v>0</v>
      </c>
      <c r="H39" s="9">
        <f>IFERROR(IF(Inputs!$B$36="OK",IF(A39&lt;=Inputs!$B$6,IF(AND(ISNUMBER(E39),ISNUMBER(C39),AND(Inputs!$B$14=1,AND(ISNUMBER(Inputs!$B$15),Inputs!$B$15&gt;=0,Inputs!$B$15&lt;=10),AND(ISNUMBER(Inputs!$B$16),Inputs!$B$16&gt;=0,Inputs!$B$16&lt;=1))),MIN(E39,C39*Inputs!$B$16)*Inputs!$B$15,"UNKNOWN MATCH"),0),"UNKNOWN MATCH"),"UNKNOWN MATCH")</f>
        <v>0</v>
      </c>
      <c r="I39" s="9">
        <f>IFERROR(IF(Inputs!$B$36="OK",IF(A39&lt;=Inputs!$B$6,IF(AND(ISNUMBER(H39),AND(ISNUMBER(Inputs!$B$17),Inputs!$B$17&gt;=0,Inputs!$B$17&lt;=1)),H39*Inputs!$B$17,"UNKNOWN VESTING"),0),"UNKNOWN VESTING"),"UNKNOWN VESTING")</f>
        <v>0</v>
      </c>
      <c r="J39" s="5"/>
      <c r="K39" s="2" t="str">
        <f>IFERROR(IF(Inputs!$B$36="OK",IF(A39&lt;=Inputs!$B$6,IF(AND(ISNUMBER(B39),ISNUMBER(Inputs!$B$4),YEAR(B39)=Inputs!$B$4),"OK","FIX DATE"),""),"PENDING"),"PENDING")</f>
        <v/>
      </c>
      <c r="L39" s="9">
        <f>IFERROR(IF(Inputs!$B$36="OK",IF(A39&lt;=Inputs!$B$6,IF(ISNUMBER(H39),MAX(0,C39*Inputs!$B$16*Inputs!$B$15-H39),"UNKNOWN MATCH"),0),"UNKNOWN MATCH"),"UNKNOWN MATCH")</f>
        <v>0</v>
      </c>
      <c r="M39" s="28">
        <f>IFERROR(IF(OR(NOT(A39&lt;=Inputs!$B$6),K39="OK"),IF(A39&lt;=Inputs!$B$6,MONTH(B39),0),"PENDING"),"PENDING")</f>
        <v>0</v>
      </c>
      <c r="N39" s="28" t="str">
        <f>IFERROR(IF(Inputs!$B$36="OK",IF(A39&lt;=Inputs!$B$6,IF(AND(K39="OK",Inputs!$B$37="OK",M39&gt;=Inputs!$B$32,M39&lt;=Inputs!$B$33),"OK","FIX PERIOD"),""),"PENDING"),"PENDING")</f>
        <v/>
      </c>
    </row>
    <row r="40" spans="1:14" ht="27.95" customHeight="1" x14ac:dyDescent="0.25">
      <c r="A40" s="2">
        <v>36</v>
      </c>
      <c r="B40" s="6" t="str">
        <f>IFERROR(IF(AND(Inputs!$B$36="OK",COUNT(Inputs!$B$7:$B$8)=2,Inputs!$B$7&gt;0,Inputs!$B$8&gt;=1),IF(A40&lt;=Inputs!$B$6,Inputs!$B$7+(A40-1)*Inputs!$B$8,""),"PENDING"),"PENDING")</f>
        <v/>
      </c>
      <c r="C40" s="5">
        <f>IFERROR(IF(Inputs!$B$36="OK",IF(A40&lt;=Inputs!$B$6,IF(AND(ISNUMBER(Inputs!$B$5),Inputs!$B$5&gt;=0),Inputs!$B$5/Inputs!$B$27,"PENDING"),0),"PENDING"),"PENDING")</f>
        <v>0</v>
      </c>
      <c r="D40" s="11">
        <f>IFERROR(IF(Inputs!$B$36="OK",IF(A40&lt;=Inputs!$B$6,IF(AND(ISNUMBER(Inputs!$B$21),Inputs!$B$21=INT(Inputs!$B$21),Inputs!$B$21&gt;=1,Inputs!$B$21&lt;=53,IF(A40&lt;Inputs!$B$21,ISNUMBER(Inputs!$B$20),ISNUMBER(Inputs!$B$22)),IF(A40&lt;Inputs!$B$21,Inputs!$B$20,Inputs!$B$22)&gt;=0,IF(A40&lt;Inputs!$B$21,Inputs!$B$20,Inputs!$B$22)&lt;=1),IF(A40&lt;Inputs!$B$21,Inputs!$B$20,Inputs!$B$22),"PENDING"),0),"PENDING"),"PENDING")</f>
        <v>0</v>
      </c>
      <c r="E40" s="9">
        <f>IFERROR(IF(Inputs!$B$36="OK",IF(A40&lt;=Inputs!$B$6,IF(AND(AND(ISNUMBER(C40),C40&gt;=0),AND(ISNUMBER(D40),D40&gt;=0,D40&lt;=1)),C40*D40,"PENDING"),0),"PENDING"),"PENDING")</f>
        <v>0</v>
      </c>
      <c r="F40" s="9">
        <f>IFERROR(IF(Inputs!$B$36="OK",IF(A40&lt;=Inputs!$B$6,IF(AND(ISNUMBER(E40),AND(ISNUMBER(Inputs!$B$23),Inputs!$B$23&gt;=0,Inputs!$B$23&lt;=1)),E40*(1-Inputs!$B$23),"PENDING"),0),"PENDING"),"PENDING")</f>
        <v>0</v>
      </c>
      <c r="G40" s="9">
        <f>IFERROR(IF(Inputs!$B$36="OK",IF(A40&lt;=Inputs!$B$6,IF(AND(ISNUMBER(E40),AND(ISNUMBER(Inputs!$B$23),Inputs!$B$23&gt;=0,Inputs!$B$23&lt;=1)),E40*Inputs!$B$23,"PENDING"),0),"PENDING"),"PENDING")</f>
        <v>0</v>
      </c>
      <c r="H40" s="9">
        <f>IFERROR(IF(Inputs!$B$36="OK",IF(A40&lt;=Inputs!$B$6,IF(AND(ISNUMBER(E40),ISNUMBER(C40),AND(Inputs!$B$14=1,AND(ISNUMBER(Inputs!$B$15),Inputs!$B$15&gt;=0,Inputs!$B$15&lt;=10),AND(ISNUMBER(Inputs!$B$16),Inputs!$B$16&gt;=0,Inputs!$B$16&lt;=1))),MIN(E40,C40*Inputs!$B$16)*Inputs!$B$15,"UNKNOWN MATCH"),0),"UNKNOWN MATCH"),"UNKNOWN MATCH")</f>
        <v>0</v>
      </c>
      <c r="I40" s="9">
        <f>IFERROR(IF(Inputs!$B$36="OK",IF(A40&lt;=Inputs!$B$6,IF(AND(ISNUMBER(H40),AND(ISNUMBER(Inputs!$B$17),Inputs!$B$17&gt;=0,Inputs!$B$17&lt;=1)),H40*Inputs!$B$17,"UNKNOWN VESTING"),0),"UNKNOWN VESTING"),"UNKNOWN VESTING")</f>
        <v>0</v>
      </c>
      <c r="J40" s="5"/>
      <c r="K40" s="2" t="str">
        <f>IFERROR(IF(Inputs!$B$36="OK",IF(A40&lt;=Inputs!$B$6,IF(AND(ISNUMBER(B40),ISNUMBER(Inputs!$B$4),YEAR(B40)=Inputs!$B$4),"OK","FIX DATE"),""),"PENDING"),"PENDING")</f>
        <v/>
      </c>
      <c r="L40" s="9">
        <f>IFERROR(IF(Inputs!$B$36="OK",IF(A40&lt;=Inputs!$B$6,IF(ISNUMBER(H40),MAX(0,C40*Inputs!$B$16*Inputs!$B$15-H40),"UNKNOWN MATCH"),0),"UNKNOWN MATCH"),"UNKNOWN MATCH")</f>
        <v>0</v>
      </c>
      <c r="M40" s="28">
        <f>IFERROR(IF(OR(NOT(A40&lt;=Inputs!$B$6),K40="OK"),IF(A40&lt;=Inputs!$B$6,MONTH(B40),0),"PENDING"),"PENDING")</f>
        <v>0</v>
      </c>
      <c r="N40" s="28" t="str">
        <f>IFERROR(IF(Inputs!$B$36="OK",IF(A40&lt;=Inputs!$B$6,IF(AND(K40="OK",Inputs!$B$37="OK",M40&gt;=Inputs!$B$32,M40&lt;=Inputs!$B$33),"OK","FIX PERIOD"),""),"PENDING"),"PENDING")</f>
        <v/>
      </c>
    </row>
    <row r="41" spans="1:14" ht="27.95" customHeight="1" x14ac:dyDescent="0.25">
      <c r="A41" s="2">
        <v>37</v>
      </c>
      <c r="B41" s="6" t="str">
        <f>IFERROR(IF(AND(Inputs!$B$36="OK",COUNT(Inputs!$B$7:$B$8)=2,Inputs!$B$7&gt;0,Inputs!$B$8&gt;=1),IF(A41&lt;=Inputs!$B$6,Inputs!$B$7+(A41-1)*Inputs!$B$8,""),"PENDING"),"PENDING")</f>
        <v/>
      </c>
      <c r="C41" s="5">
        <f>IFERROR(IF(Inputs!$B$36="OK",IF(A41&lt;=Inputs!$B$6,IF(AND(ISNUMBER(Inputs!$B$5),Inputs!$B$5&gt;=0),Inputs!$B$5/Inputs!$B$27,"PENDING"),0),"PENDING"),"PENDING")</f>
        <v>0</v>
      </c>
      <c r="D41" s="11">
        <f>IFERROR(IF(Inputs!$B$36="OK",IF(A41&lt;=Inputs!$B$6,IF(AND(ISNUMBER(Inputs!$B$21),Inputs!$B$21=INT(Inputs!$B$21),Inputs!$B$21&gt;=1,Inputs!$B$21&lt;=53,IF(A41&lt;Inputs!$B$21,ISNUMBER(Inputs!$B$20),ISNUMBER(Inputs!$B$22)),IF(A41&lt;Inputs!$B$21,Inputs!$B$20,Inputs!$B$22)&gt;=0,IF(A41&lt;Inputs!$B$21,Inputs!$B$20,Inputs!$B$22)&lt;=1),IF(A41&lt;Inputs!$B$21,Inputs!$B$20,Inputs!$B$22),"PENDING"),0),"PENDING"),"PENDING")</f>
        <v>0</v>
      </c>
      <c r="E41" s="9">
        <f>IFERROR(IF(Inputs!$B$36="OK",IF(A41&lt;=Inputs!$B$6,IF(AND(AND(ISNUMBER(C41),C41&gt;=0),AND(ISNUMBER(D41),D41&gt;=0,D41&lt;=1)),C41*D41,"PENDING"),0),"PENDING"),"PENDING")</f>
        <v>0</v>
      </c>
      <c r="F41" s="9">
        <f>IFERROR(IF(Inputs!$B$36="OK",IF(A41&lt;=Inputs!$B$6,IF(AND(ISNUMBER(E41),AND(ISNUMBER(Inputs!$B$23),Inputs!$B$23&gt;=0,Inputs!$B$23&lt;=1)),E41*(1-Inputs!$B$23),"PENDING"),0),"PENDING"),"PENDING")</f>
        <v>0</v>
      </c>
      <c r="G41" s="9">
        <f>IFERROR(IF(Inputs!$B$36="OK",IF(A41&lt;=Inputs!$B$6,IF(AND(ISNUMBER(E41),AND(ISNUMBER(Inputs!$B$23),Inputs!$B$23&gt;=0,Inputs!$B$23&lt;=1)),E41*Inputs!$B$23,"PENDING"),0),"PENDING"),"PENDING")</f>
        <v>0</v>
      </c>
      <c r="H41" s="9">
        <f>IFERROR(IF(Inputs!$B$36="OK",IF(A41&lt;=Inputs!$B$6,IF(AND(ISNUMBER(E41),ISNUMBER(C41),AND(Inputs!$B$14=1,AND(ISNUMBER(Inputs!$B$15),Inputs!$B$15&gt;=0,Inputs!$B$15&lt;=10),AND(ISNUMBER(Inputs!$B$16),Inputs!$B$16&gt;=0,Inputs!$B$16&lt;=1))),MIN(E41,C41*Inputs!$B$16)*Inputs!$B$15,"UNKNOWN MATCH"),0),"UNKNOWN MATCH"),"UNKNOWN MATCH")</f>
        <v>0</v>
      </c>
      <c r="I41" s="9">
        <f>IFERROR(IF(Inputs!$B$36="OK",IF(A41&lt;=Inputs!$B$6,IF(AND(ISNUMBER(H41),AND(ISNUMBER(Inputs!$B$17),Inputs!$B$17&gt;=0,Inputs!$B$17&lt;=1)),H41*Inputs!$B$17,"UNKNOWN VESTING"),0),"UNKNOWN VESTING"),"UNKNOWN VESTING")</f>
        <v>0</v>
      </c>
      <c r="J41" s="5"/>
      <c r="K41" s="2" t="str">
        <f>IFERROR(IF(Inputs!$B$36="OK",IF(A41&lt;=Inputs!$B$6,IF(AND(ISNUMBER(B41),ISNUMBER(Inputs!$B$4),YEAR(B41)=Inputs!$B$4),"OK","FIX DATE"),""),"PENDING"),"PENDING")</f>
        <v/>
      </c>
      <c r="L41" s="9">
        <f>IFERROR(IF(Inputs!$B$36="OK",IF(A41&lt;=Inputs!$B$6,IF(ISNUMBER(H41),MAX(0,C41*Inputs!$B$16*Inputs!$B$15-H41),"UNKNOWN MATCH"),0),"UNKNOWN MATCH"),"UNKNOWN MATCH")</f>
        <v>0</v>
      </c>
      <c r="M41" s="28">
        <f>IFERROR(IF(OR(NOT(A41&lt;=Inputs!$B$6),K41="OK"),IF(A41&lt;=Inputs!$B$6,MONTH(B41),0),"PENDING"),"PENDING")</f>
        <v>0</v>
      </c>
      <c r="N41" s="28" t="str">
        <f>IFERROR(IF(Inputs!$B$36="OK",IF(A41&lt;=Inputs!$B$6,IF(AND(K41="OK",Inputs!$B$37="OK",M41&gt;=Inputs!$B$32,M41&lt;=Inputs!$B$33),"OK","FIX PERIOD"),""),"PENDING"),"PENDING")</f>
        <v/>
      </c>
    </row>
    <row r="42" spans="1:14" ht="27.95" customHeight="1" x14ac:dyDescent="0.25">
      <c r="A42" s="2">
        <v>38</v>
      </c>
      <c r="B42" s="6" t="str">
        <f>IFERROR(IF(AND(Inputs!$B$36="OK",COUNT(Inputs!$B$7:$B$8)=2,Inputs!$B$7&gt;0,Inputs!$B$8&gt;=1),IF(A42&lt;=Inputs!$B$6,Inputs!$B$7+(A42-1)*Inputs!$B$8,""),"PENDING"),"PENDING")</f>
        <v/>
      </c>
      <c r="C42" s="5">
        <f>IFERROR(IF(Inputs!$B$36="OK",IF(A42&lt;=Inputs!$B$6,IF(AND(ISNUMBER(Inputs!$B$5),Inputs!$B$5&gt;=0),Inputs!$B$5/Inputs!$B$27,"PENDING"),0),"PENDING"),"PENDING")</f>
        <v>0</v>
      </c>
      <c r="D42" s="11">
        <f>IFERROR(IF(Inputs!$B$36="OK",IF(A42&lt;=Inputs!$B$6,IF(AND(ISNUMBER(Inputs!$B$21),Inputs!$B$21=INT(Inputs!$B$21),Inputs!$B$21&gt;=1,Inputs!$B$21&lt;=53,IF(A42&lt;Inputs!$B$21,ISNUMBER(Inputs!$B$20),ISNUMBER(Inputs!$B$22)),IF(A42&lt;Inputs!$B$21,Inputs!$B$20,Inputs!$B$22)&gt;=0,IF(A42&lt;Inputs!$B$21,Inputs!$B$20,Inputs!$B$22)&lt;=1),IF(A42&lt;Inputs!$B$21,Inputs!$B$20,Inputs!$B$22),"PENDING"),0),"PENDING"),"PENDING")</f>
        <v>0</v>
      </c>
      <c r="E42" s="9">
        <f>IFERROR(IF(Inputs!$B$36="OK",IF(A42&lt;=Inputs!$B$6,IF(AND(AND(ISNUMBER(C42),C42&gt;=0),AND(ISNUMBER(D42),D42&gt;=0,D42&lt;=1)),C42*D42,"PENDING"),0),"PENDING"),"PENDING")</f>
        <v>0</v>
      </c>
      <c r="F42" s="9">
        <f>IFERROR(IF(Inputs!$B$36="OK",IF(A42&lt;=Inputs!$B$6,IF(AND(ISNUMBER(E42),AND(ISNUMBER(Inputs!$B$23),Inputs!$B$23&gt;=0,Inputs!$B$23&lt;=1)),E42*(1-Inputs!$B$23),"PENDING"),0),"PENDING"),"PENDING")</f>
        <v>0</v>
      </c>
      <c r="G42" s="9">
        <f>IFERROR(IF(Inputs!$B$36="OK",IF(A42&lt;=Inputs!$B$6,IF(AND(ISNUMBER(E42),AND(ISNUMBER(Inputs!$B$23),Inputs!$B$23&gt;=0,Inputs!$B$23&lt;=1)),E42*Inputs!$B$23,"PENDING"),0),"PENDING"),"PENDING")</f>
        <v>0</v>
      </c>
      <c r="H42" s="9">
        <f>IFERROR(IF(Inputs!$B$36="OK",IF(A42&lt;=Inputs!$B$6,IF(AND(ISNUMBER(E42),ISNUMBER(C42),AND(Inputs!$B$14=1,AND(ISNUMBER(Inputs!$B$15),Inputs!$B$15&gt;=0,Inputs!$B$15&lt;=10),AND(ISNUMBER(Inputs!$B$16),Inputs!$B$16&gt;=0,Inputs!$B$16&lt;=1))),MIN(E42,C42*Inputs!$B$16)*Inputs!$B$15,"UNKNOWN MATCH"),0),"UNKNOWN MATCH"),"UNKNOWN MATCH")</f>
        <v>0</v>
      </c>
      <c r="I42" s="9">
        <f>IFERROR(IF(Inputs!$B$36="OK",IF(A42&lt;=Inputs!$B$6,IF(AND(ISNUMBER(H42),AND(ISNUMBER(Inputs!$B$17),Inputs!$B$17&gt;=0,Inputs!$B$17&lt;=1)),H42*Inputs!$B$17,"UNKNOWN VESTING"),0),"UNKNOWN VESTING"),"UNKNOWN VESTING")</f>
        <v>0</v>
      </c>
      <c r="J42" s="5"/>
      <c r="K42" s="2" t="str">
        <f>IFERROR(IF(Inputs!$B$36="OK",IF(A42&lt;=Inputs!$B$6,IF(AND(ISNUMBER(B42),ISNUMBER(Inputs!$B$4),YEAR(B42)=Inputs!$B$4),"OK","FIX DATE"),""),"PENDING"),"PENDING")</f>
        <v/>
      </c>
      <c r="L42" s="9">
        <f>IFERROR(IF(Inputs!$B$36="OK",IF(A42&lt;=Inputs!$B$6,IF(ISNUMBER(H42),MAX(0,C42*Inputs!$B$16*Inputs!$B$15-H42),"UNKNOWN MATCH"),0),"UNKNOWN MATCH"),"UNKNOWN MATCH")</f>
        <v>0</v>
      </c>
      <c r="M42" s="28">
        <f>IFERROR(IF(OR(NOT(A42&lt;=Inputs!$B$6),K42="OK"),IF(A42&lt;=Inputs!$B$6,MONTH(B42),0),"PENDING"),"PENDING")</f>
        <v>0</v>
      </c>
      <c r="N42" s="28" t="str">
        <f>IFERROR(IF(Inputs!$B$36="OK",IF(A42&lt;=Inputs!$B$6,IF(AND(K42="OK",Inputs!$B$37="OK",M42&gt;=Inputs!$B$32,M42&lt;=Inputs!$B$33),"OK","FIX PERIOD"),""),"PENDING"),"PENDING")</f>
        <v/>
      </c>
    </row>
    <row r="43" spans="1:14" ht="27.95" customHeight="1" x14ac:dyDescent="0.25">
      <c r="A43" s="2">
        <v>39</v>
      </c>
      <c r="B43" s="6" t="str">
        <f>IFERROR(IF(AND(Inputs!$B$36="OK",COUNT(Inputs!$B$7:$B$8)=2,Inputs!$B$7&gt;0,Inputs!$B$8&gt;=1),IF(A43&lt;=Inputs!$B$6,Inputs!$B$7+(A43-1)*Inputs!$B$8,""),"PENDING"),"PENDING")</f>
        <v/>
      </c>
      <c r="C43" s="5">
        <f>IFERROR(IF(Inputs!$B$36="OK",IF(A43&lt;=Inputs!$B$6,IF(AND(ISNUMBER(Inputs!$B$5),Inputs!$B$5&gt;=0),Inputs!$B$5/Inputs!$B$27,"PENDING"),0),"PENDING"),"PENDING")</f>
        <v>0</v>
      </c>
      <c r="D43" s="11">
        <f>IFERROR(IF(Inputs!$B$36="OK",IF(A43&lt;=Inputs!$B$6,IF(AND(ISNUMBER(Inputs!$B$21),Inputs!$B$21=INT(Inputs!$B$21),Inputs!$B$21&gt;=1,Inputs!$B$21&lt;=53,IF(A43&lt;Inputs!$B$21,ISNUMBER(Inputs!$B$20),ISNUMBER(Inputs!$B$22)),IF(A43&lt;Inputs!$B$21,Inputs!$B$20,Inputs!$B$22)&gt;=0,IF(A43&lt;Inputs!$B$21,Inputs!$B$20,Inputs!$B$22)&lt;=1),IF(A43&lt;Inputs!$B$21,Inputs!$B$20,Inputs!$B$22),"PENDING"),0),"PENDING"),"PENDING")</f>
        <v>0</v>
      </c>
      <c r="E43" s="9">
        <f>IFERROR(IF(Inputs!$B$36="OK",IF(A43&lt;=Inputs!$B$6,IF(AND(AND(ISNUMBER(C43),C43&gt;=0),AND(ISNUMBER(D43),D43&gt;=0,D43&lt;=1)),C43*D43,"PENDING"),0),"PENDING"),"PENDING")</f>
        <v>0</v>
      </c>
      <c r="F43" s="9">
        <f>IFERROR(IF(Inputs!$B$36="OK",IF(A43&lt;=Inputs!$B$6,IF(AND(ISNUMBER(E43),AND(ISNUMBER(Inputs!$B$23),Inputs!$B$23&gt;=0,Inputs!$B$23&lt;=1)),E43*(1-Inputs!$B$23),"PENDING"),0),"PENDING"),"PENDING")</f>
        <v>0</v>
      </c>
      <c r="G43" s="9">
        <f>IFERROR(IF(Inputs!$B$36="OK",IF(A43&lt;=Inputs!$B$6,IF(AND(ISNUMBER(E43),AND(ISNUMBER(Inputs!$B$23),Inputs!$B$23&gt;=0,Inputs!$B$23&lt;=1)),E43*Inputs!$B$23,"PENDING"),0),"PENDING"),"PENDING")</f>
        <v>0</v>
      </c>
      <c r="H43" s="9">
        <f>IFERROR(IF(Inputs!$B$36="OK",IF(A43&lt;=Inputs!$B$6,IF(AND(ISNUMBER(E43),ISNUMBER(C43),AND(Inputs!$B$14=1,AND(ISNUMBER(Inputs!$B$15),Inputs!$B$15&gt;=0,Inputs!$B$15&lt;=10),AND(ISNUMBER(Inputs!$B$16),Inputs!$B$16&gt;=0,Inputs!$B$16&lt;=1))),MIN(E43,C43*Inputs!$B$16)*Inputs!$B$15,"UNKNOWN MATCH"),0),"UNKNOWN MATCH"),"UNKNOWN MATCH")</f>
        <v>0</v>
      </c>
      <c r="I43" s="9">
        <f>IFERROR(IF(Inputs!$B$36="OK",IF(A43&lt;=Inputs!$B$6,IF(AND(ISNUMBER(H43),AND(ISNUMBER(Inputs!$B$17),Inputs!$B$17&gt;=0,Inputs!$B$17&lt;=1)),H43*Inputs!$B$17,"UNKNOWN VESTING"),0),"UNKNOWN VESTING"),"UNKNOWN VESTING")</f>
        <v>0</v>
      </c>
      <c r="J43" s="5"/>
      <c r="K43" s="2" t="str">
        <f>IFERROR(IF(Inputs!$B$36="OK",IF(A43&lt;=Inputs!$B$6,IF(AND(ISNUMBER(B43),ISNUMBER(Inputs!$B$4),YEAR(B43)=Inputs!$B$4),"OK","FIX DATE"),""),"PENDING"),"PENDING")</f>
        <v/>
      </c>
      <c r="L43" s="9">
        <f>IFERROR(IF(Inputs!$B$36="OK",IF(A43&lt;=Inputs!$B$6,IF(ISNUMBER(H43),MAX(0,C43*Inputs!$B$16*Inputs!$B$15-H43),"UNKNOWN MATCH"),0),"UNKNOWN MATCH"),"UNKNOWN MATCH")</f>
        <v>0</v>
      </c>
      <c r="M43" s="28">
        <f>IFERROR(IF(OR(NOT(A43&lt;=Inputs!$B$6),K43="OK"),IF(A43&lt;=Inputs!$B$6,MONTH(B43),0),"PENDING"),"PENDING")</f>
        <v>0</v>
      </c>
      <c r="N43" s="28" t="str">
        <f>IFERROR(IF(Inputs!$B$36="OK",IF(A43&lt;=Inputs!$B$6,IF(AND(K43="OK",Inputs!$B$37="OK",M43&gt;=Inputs!$B$32,M43&lt;=Inputs!$B$33),"OK","FIX PERIOD"),""),"PENDING"),"PENDING")</f>
        <v/>
      </c>
    </row>
    <row r="44" spans="1:14" ht="27.95" customHeight="1" x14ac:dyDescent="0.25">
      <c r="A44" s="2">
        <v>40</v>
      </c>
      <c r="B44" s="6" t="str">
        <f>IFERROR(IF(AND(Inputs!$B$36="OK",COUNT(Inputs!$B$7:$B$8)=2,Inputs!$B$7&gt;0,Inputs!$B$8&gt;=1),IF(A44&lt;=Inputs!$B$6,Inputs!$B$7+(A44-1)*Inputs!$B$8,""),"PENDING"),"PENDING")</f>
        <v/>
      </c>
      <c r="C44" s="5">
        <f>IFERROR(IF(Inputs!$B$36="OK",IF(A44&lt;=Inputs!$B$6,IF(AND(ISNUMBER(Inputs!$B$5),Inputs!$B$5&gt;=0),Inputs!$B$5/Inputs!$B$27,"PENDING"),0),"PENDING"),"PENDING")</f>
        <v>0</v>
      </c>
      <c r="D44" s="11">
        <f>IFERROR(IF(Inputs!$B$36="OK",IF(A44&lt;=Inputs!$B$6,IF(AND(ISNUMBER(Inputs!$B$21),Inputs!$B$21=INT(Inputs!$B$21),Inputs!$B$21&gt;=1,Inputs!$B$21&lt;=53,IF(A44&lt;Inputs!$B$21,ISNUMBER(Inputs!$B$20),ISNUMBER(Inputs!$B$22)),IF(A44&lt;Inputs!$B$21,Inputs!$B$20,Inputs!$B$22)&gt;=0,IF(A44&lt;Inputs!$B$21,Inputs!$B$20,Inputs!$B$22)&lt;=1),IF(A44&lt;Inputs!$B$21,Inputs!$B$20,Inputs!$B$22),"PENDING"),0),"PENDING"),"PENDING")</f>
        <v>0</v>
      </c>
      <c r="E44" s="9">
        <f>IFERROR(IF(Inputs!$B$36="OK",IF(A44&lt;=Inputs!$B$6,IF(AND(AND(ISNUMBER(C44),C44&gt;=0),AND(ISNUMBER(D44),D44&gt;=0,D44&lt;=1)),C44*D44,"PENDING"),0),"PENDING"),"PENDING")</f>
        <v>0</v>
      </c>
      <c r="F44" s="9">
        <f>IFERROR(IF(Inputs!$B$36="OK",IF(A44&lt;=Inputs!$B$6,IF(AND(ISNUMBER(E44),AND(ISNUMBER(Inputs!$B$23),Inputs!$B$23&gt;=0,Inputs!$B$23&lt;=1)),E44*(1-Inputs!$B$23),"PENDING"),0),"PENDING"),"PENDING")</f>
        <v>0</v>
      </c>
      <c r="G44" s="9">
        <f>IFERROR(IF(Inputs!$B$36="OK",IF(A44&lt;=Inputs!$B$6,IF(AND(ISNUMBER(E44),AND(ISNUMBER(Inputs!$B$23),Inputs!$B$23&gt;=0,Inputs!$B$23&lt;=1)),E44*Inputs!$B$23,"PENDING"),0),"PENDING"),"PENDING")</f>
        <v>0</v>
      </c>
      <c r="H44" s="9">
        <f>IFERROR(IF(Inputs!$B$36="OK",IF(A44&lt;=Inputs!$B$6,IF(AND(ISNUMBER(E44),ISNUMBER(C44),AND(Inputs!$B$14=1,AND(ISNUMBER(Inputs!$B$15),Inputs!$B$15&gt;=0,Inputs!$B$15&lt;=10),AND(ISNUMBER(Inputs!$B$16),Inputs!$B$16&gt;=0,Inputs!$B$16&lt;=1))),MIN(E44,C44*Inputs!$B$16)*Inputs!$B$15,"UNKNOWN MATCH"),0),"UNKNOWN MATCH"),"UNKNOWN MATCH")</f>
        <v>0</v>
      </c>
      <c r="I44" s="9">
        <f>IFERROR(IF(Inputs!$B$36="OK",IF(A44&lt;=Inputs!$B$6,IF(AND(ISNUMBER(H44),AND(ISNUMBER(Inputs!$B$17),Inputs!$B$17&gt;=0,Inputs!$B$17&lt;=1)),H44*Inputs!$B$17,"UNKNOWN VESTING"),0),"UNKNOWN VESTING"),"UNKNOWN VESTING")</f>
        <v>0</v>
      </c>
      <c r="J44" s="5"/>
      <c r="K44" s="2" t="str">
        <f>IFERROR(IF(Inputs!$B$36="OK",IF(A44&lt;=Inputs!$B$6,IF(AND(ISNUMBER(B44),ISNUMBER(Inputs!$B$4),YEAR(B44)=Inputs!$B$4),"OK","FIX DATE"),""),"PENDING"),"PENDING")</f>
        <v/>
      </c>
      <c r="L44" s="9">
        <f>IFERROR(IF(Inputs!$B$36="OK",IF(A44&lt;=Inputs!$B$6,IF(ISNUMBER(H44),MAX(0,C44*Inputs!$B$16*Inputs!$B$15-H44),"UNKNOWN MATCH"),0),"UNKNOWN MATCH"),"UNKNOWN MATCH")</f>
        <v>0</v>
      </c>
      <c r="M44" s="28">
        <f>IFERROR(IF(OR(NOT(A44&lt;=Inputs!$B$6),K44="OK"),IF(A44&lt;=Inputs!$B$6,MONTH(B44),0),"PENDING"),"PENDING")</f>
        <v>0</v>
      </c>
      <c r="N44" s="28" t="str">
        <f>IFERROR(IF(Inputs!$B$36="OK",IF(A44&lt;=Inputs!$B$6,IF(AND(K44="OK",Inputs!$B$37="OK",M44&gt;=Inputs!$B$32,M44&lt;=Inputs!$B$33),"OK","FIX PERIOD"),""),"PENDING"),"PENDING")</f>
        <v/>
      </c>
    </row>
    <row r="45" spans="1:14" ht="27.95" customHeight="1" x14ac:dyDescent="0.25">
      <c r="A45" s="2">
        <v>41</v>
      </c>
      <c r="B45" s="6" t="str">
        <f>IFERROR(IF(AND(Inputs!$B$36="OK",COUNT(Inputs!$B$7:$B$8)=2,Inputs!$B$7&gt;0,Inputs!$B$8&gt;=1),IF(A45&lt;=Inputs!$B$6,Inputs!$B$7+(A45-1)*Inputs!$B$8,""),"PENDING"),"PENDING")</f>
        <v/>
      </c>
      <c r="C45" s="5">
        <f>IFERROR(IF(Inputs!$B$36="OK",IF(A45&lt;=Inputs!$B$6,IF(AND(ISNUMBER(Inputs!$B$5),Inputs!$B$5&gt;=0),Inputs!$B$5/Inputs!$B$27,"PENDING"),0),"PENDING"),"PENDING")</f>
        <v>0</v>
      </c>
      <c r="D45" s="11">
        <f>IFERROR(IF(Inputs!$B$36="OK",IF(A45&lt;=Inputs!$B$6,IF(AND(ISNUMBER(Inputs!$B$21),Inputs!$B$21=INT(Inputs!$B$21),Inputs!$B$21&gt;=1,Inputs!$B$21&lt;=53,IF(A45&lt;Inputs!$B$21,ISNUMBER(Inputs!$B$20),ISNUMBER(Inputs!$B$22)),IF(A45&lt;Inputs!$B$21,Inputs!$B$20,Inputs!$B$22)&gt;=0,IF(A45&lt;Inputs!$B$21,Inputs!$B$20,Inputs!$B$22)&lt;=1),IF(A45&lt;Inputs!$B$21,Inputs!$B$20,Inputs!$B$22),"PENDING"),0),"PENDING"),"PENDING")</f>
        <v>0</v>
      </c>
      <c r="E45" s="9">
        <f>IFERROR(IF(Inputs!$B$36="OK",IF(A45&lt;=Inputs!$B$6,IF(AND(AND(ISNUMBER(C45),C45&gt;=0),AND(ISNUMBER(D45),D45&gt;=0,D45&lt;=1)),C45*D45,"PENDING"),0),"PENDING"),"PENDING")</f>
        <v>0</v>
      </c>
      <c r="F45" s="9">
        <f>IFERROR(IF(Inputs!$B$36="OK",IF(A45&lt;=Inputs!$B$6,IF(AND(ISNUMBER(E45),AND(ISNUMBER(Inputs!$B$23),Inputs!$B$23&gt;=0,Inputs!$B$23&lt;=1)),E45*(1-Inputs!$B$23),"PENDING"),0),"PENDING"),"PENDING")</f>
        <v>0</v>
      </c>
      <c r="G45" s="9">
        <f>IFERROR(IF(Inputs!$B$36="OK",IF(A45&lt;=Inputs!$B$6,IF(AND(ISNUMBER(E45),AND(ISNUMBER(Inputs!$B$23),Inputs!$B$23&gt;=0,Inputs!$B$23&lt;=1)),E45*Inputs!$B$23,"PENDING"),0),"PENDING"),"PENDING")</f>
        <v>0</v>
      </c>
      <c r="H45" s="9">
        <f>IFERROR(IF(Inputs!$B$36="OK",IF(A45&lt;=Inputs!$B$6,IF(AND(ISNUMBER(E45),ISNUMBER(C45),AND(Inputs!$B$14=1,AND(ISNUMBER(Inputs!$B$15),Inputs!$B$15&gt;=0,Inputs!$B$15&lt;=10),AND(ISNUMBER(Inputs!$B$16),Inputs!$B$16&gt;=0,Inputs!$B$16&lt;=1))),MIN(E45,C45*Inputs!$B$16)*Inputs!$B$15,"UNKNOWN MATCH"),0),"UNKNOWN MATCH"),"UNKNOWN MATCH")</f>
        <v>0</v>
      </c>
      <c r="I45" s="9">
        <f>IFERROR(IF(Inputs!$B$36="OK",IF(A45&lt;=Inputs!$B$6,IF(AND(ISNUMBER(H45),AND(ISNUMBER(Inputs!$B$17),Inputs!$B$17&gt;=0,Inputs!$B$17&lt;=1)),H45*Inputs!$B$17,"UNKNOWN VESTING"),0),"UNKNOWN VESTING"),"UNKNOWN VESTING")</f>
        <v>0</v>
      </c>
      <c r="J45" s="5"/>
      <c r="K45" s="2" t="str">
        <f>IFERROR(IF(Inputs!$B$36="OK",IF(A45&lt;=Inputs!$B$6,IF(AND(ISNUMBER(B45),ISNUMBER(Inputs!$B$4),YEAR(B45)=Inputs!$B$4),"OK","FIX DATE"),""),"PENDING"),"PENDING")</f>
        <v/>
      </c>
      <c r="L45" s="9">
        <f>IFERROR(IF(Inputs!$B$36="OK",IF(A45&lt;=Inputs!$B$6,IF(ISNUMBER(H45),MAX(0,C45*Inputs!$B$16*Inputs!$B$15-H45),"UNKNOWN MATCH"),0),"UNKNOWN MATCH"),"UNKNOWN MATCH")</f>
        <v>0</v>
      </c>
      <c r="M45" s="28">
        <f>IFERROR(IF(OR(NOT(A45&lt;=Inputs!$B$6),K45="OK"),IF(A45&lt;=Inputs!$B$6,MONTH(B45),0),"PENDING"),"PENDING")</f>
        <v>0</v>
      </c>
      <c r="N45" s="28" t="str">
        <f>IFERROR(IF(Inputs!$B$36="OK",IF(A45&lt;=Inputs!$B$6,IF(AND(K45="OK",Inputs!$B$37="OK",M45&gt;=Inputs!$B$32,M45&lt;=Inputs!$B$33),"OK","FIX PERIOD"),""),"PENDING"),"PENDING")</f>
        <v/>
      </c>
    </row>
    <row r="46" spans="1:14" ht="27.95" customHeight="1" x14ac:dyDescent="0.25">
      <c r="A46" s="2">
        <v>42</v>
      </c>
      <c r="B46" s="6" t="str">
        <f>IFERROR(IF(AND(Inputs!$B$36="OK",COUNT(Inputs!$B$7:$B$8)=2,Inputs!$B$7&gt;0,Inputs!$B$8&gt;=1),IF(A46&lt;=Inputs!$B$6,Inputs!$B$7+(A46-1)*Inputs!$B$8,""),"PENDING"),"PENDING")</f>
        <v/>
      </c>
      <c r="C46" s="5">
        <f>IFERROR(IF(Inputs!$B$36="OK",IF(A46&lt;=Inputs!$B$6,IF(AND(ISNUMBER(Inputs!$B$5),Inputs!$B$5&gt;=0),Inputs!$B$5/Inputs!$B$27,"PENDING"),0),"PENDING"),"PENDING")</f>
        <v>0</v>
      </c>
      <c r="D46" s="11">
        <f>IFERROR(IF(Inputs!$B$36="OK",IF(A46&lt;=Inputs!$B$6,IF(AND(ISNUMBER(Inputs!$B$21),Inputs!$B$21=INT(Inputs!$B$21),Inputs!$B$21&gt;=1,Inputs!$B$21&lt;=53,IF(A46&lt;Inputs!$B$21,ISNUMBER(Inputs!$B$20),ISNUMBER(Inputs!$B$22)),IF(A46&lt;Inputs!$B$21,Inputs!$B$20,Inputs!$B$22)&gt;=0,IF(A46&lt;Inputs!$B$21,Inputs!$B$20,Inputs!$B$22)&lt;=1),IF(A46&lt;Inputs!$B$21,Inputs!$B$20,Inputs!$B$22),"PENDING"),0),"PENDING"),"PENDING")</f>
        <v>0</v>
      </c>
      <c r="E46" s="9">
        <f>IFERROR(IF(Inputs!$B$36="OK",IF(A46&lt;=Inputs!$B$6,IF(AND(AND(ISNUMBER(C46),C46&gt;=0),AND(ISNUMBER(D46),D46&gt;=0,D46&lt;=1)),C46*D46,"PENDING"),0),"PENDING"),"PENDING")</f>
        <v>0</v>
      </c>
      <c r="F46" s="9">
        <f>IFERROR(IF(Inputs!$B$36="OK",IF(A46&lt;=Inputs!$B$6,IF(AND(ISNUMBER(E46),AND(ISNUMBER(Inputs!$B$23),Inputs!$B$23&gt;=0,Inputs!$B$23&lt;=1)),E46*(1-Inputs!$B$23),"PENDING"),0),"PENDING"),"PENDING")</f>
        <v>0</v>
      </c>
      <c r="G46" s="9">
        <f>IFERROR(IF(Inputs!$B$36="OK",IF(A46&lt;=Inputs!$B$6,IF(AND(ISNUMBER(E46),AND(ISNUMBER(Inputs!$B$23),Inputs!$B$23&gt;=0,Inputs!$B$23&lt;=1)),E46*Inputs!$B$23,"PENDING"),0),"PENDING"),"PENDING")</f>
        <v>0</v>
      </c>
      <c r="H46" s="9">
        <f>IFERROR(IF(Inputs!$B$36="OK",IF(A46&lt;=Inputs!$B$6,IF(AND(ISNUMBER(E46),ISNUMBER(C46),AND(Inputs!$B$14=1,AND(ISNUMBER(Inputs!$B$15),Inputs!$B$15&gt;=0,Inputs!$B$15&lt;=10),AND(ISNUMBER(Inputs!$B$16),Inputs!$B$16&gt;=0,Inputs!$B$16&lt;=1))),MIN(E46,C46*Inputs!$B$16)*Inputs!$B$15,"UNKNOWN MATCH"),0),"UNKNOWN MATCH"),"UNKNOWN MATCH")</f>
        <v>0</v>
      </c>
      <c r="I46" s="9">
        <f>IFERROR(IF(Inputs!$B$36="OK",IF(A46&lt;=Inputs!$B$6,IF(AND(ISNUMBER(H46),AND(ISNUMBER(Inputs!$B$17),Inputs!$B$17&gt;=0,Inputs!$B$17&lt;=1)),H46*Inputs!$B$17,"UNKNOWN VESTING"),0),"UNKNOWN VESTING"),"UNKNOWN VESTING")</f>
        <v>0</v>
      </c>
      <c r="J46" s="5"/>
      <c r="K46" s="2" t="str">
        <f>IFERROR(IF(Inputs!$B$36="OK",IF(A46&lt;=Inputs!$B$6,IF(AND(ISNUMBER(B46),ISNUMBER(Inputs!$B$4),YEAR(B46)=Inputs!$B$4),"OK","FIX DATE"),""),"PENDING"),"PENDING")</f>
        <v/>
      </c>
      <c r="L46" s="9">
        <f>IFERROR(IF(Inputs!$B$36="OK",IF(A46&lt;=Inputs!$B$6,IF(ISNUMBER(H46),MAX(0,C46*Inputs!$B$16*Inputs!$B$15-H46),"UNKNOWN MATCH"),0),"UNKNOWN MATCH"),"UNKNOWN MATCH")</f>
        <v>0</v>
      </c>
      <c r="M46" s="28">
        <f>IFERROR(IF(OR(NOT(A46&lt;=Inputs!$B$6),K46="OK"),IF(A46&lt;=Inputs!$B$6,MONTH(B46),0),"PENDING"),"PENDING")</f>
        <v>0</v>
      </c>
      <c r="N46" s="28" t="str">
        <f>IFERROR(IF(Inputs!$B$36="OK",IF(A46&lt;=Inputs!$B$6,IF(AND(K46="OK",Inputs!$B$37="OK",M46&gt;=Inputs!$B$32,M46&lt;=Inputs!$B$33),"OK","FIX PERIOD"),""),"PENDING"),"PENDING")</f>
        <v/>
      </c>
    </row>
    <row r="47" spans="1:14" ht="27.95" customHeight="1" x14ac:dyDescent="0.25">
      <c r="A47" s="2">
        <v>43</v>
      </c>
      <c r="B47" s="6" t="str">
        <f>IFERROR(IF(AND(Inputs!$B$36="OK",COUNT(Inputs!$B$7:$B$8)=2,Inputs!$B$7&gt;0,Inputs!$B$8&gt;=1),IF(A47&lt;=Inputs!$B$6,Inputs!$B$7+(A47-1)*Inputs!$B$8,""),"PENDING"),"PENDING")</f>
        <v/>
      </c>
      <c r="C47" s="5">
        <f>IFERROR(IF(Inputs!$B$36="OK",IF(A47&lt;=Inputs!$B$6,IF(AND(ISNUMBER(Inputs!$B$5),Inputs!$B$5&gt;=0),Inputs!$B$5/Inputs!$B$27,"PENDING"),0),"PENDING"),"PENDING")</f>
        <v>0</v>
      </c>
      <c r="D47" s="11">
        <f>IFERROR(IF(Inputs!$B$36="OK",IF(A47&lt;=Inputs!$B$6,IF(AND(ISNUMBER(Inputs!$B$21),Inputs!$B$21=INT(Inputs!$B$21),Inputs!$B$21&gt;=1,Inputs!$B$21&lt;=53,IF(A47&lt;Inputs!$B$21,ISNUMBER(Inputs!$B$20),ISNUMBER(Inputs!$B$22)),IF(A47&lt;Inputs!$B$21,Inputs!$B$20,Inputs!$B$22)&gt;=0,IF(A47&lt;Inputs!$B$21,Inputs!$B$20,Inputs!$B$22)&lt;=1),IF(A47&lt;Inputs!$B$21,Inputs!$B$20,Inputs!$B$22),"PENDING"),0),"PENDING"),"PENDING")</f>
        <v>0</v>
      </c>
      <c r="E47" s="9">
        <f>IFERROR(IF(Inputs!$B$36="OK",IF(A47&lt;=Inputs!$B$6,IF(AND(AND(ISNUMBER(C47),C47&gt;=0),AND(ISNUMBER(D47),D47&gt;=0,D47&lt;=1)),C47*D47,"PENDING"),0),"PENDING"),"PENDING")</f>
        <v>0</v>
      </c>
      <c r="F47" s="9">
        <f>IFERROR(IF(Inputs!$B$36="OK",IF(A47&lt;=Inputs!$B$6,IF(AND(ISNUMBER(E47),AND(ISNUMBER(Inputs!$B$23),Inputs!$B$23&gt;=0,Inputs!$B$23&lt;=1)),E47*(1-Inputs!$B$23),"PENDING"),0),"PENDING"),"PENDING")</f>
        <v>0</v>
      </c>
      <c r="G47" s="9">
        <f>IFERROR(IF(Inputs!$B$36="OK",IF(A47&lt;=Inputs!$B$6,IF(AND(ISNUMBER(E47),AND(ISNUMBER(Inputs!$B$23),Inputs!$B$23&gt;=0,Inputs!$B$23&lt;=1)),E47*Inputs!$B$23,"PENDING"),0),"PENDING"),"PENDING")</f>
        <v>0</v>
      </c>
      <c r="H47" s="9">
        <f>IFERROR(IF(Inputs!$B$36="OK",IF(A47&lt;=Inputs!$B$6,IF(AND(ISNUMBER(E47),ISNUMBER(C47),AND(Inputs!$B$14=1,AND(ISNUMBER(Inputs!$B$15),Inputs!$B$15&gt;=0,Inputs!$B$15&lt;=10),AND(ISNUMBER(Inputs!$B$16),Inputs!$B$16&gt;=0,Inputs!$B$16&lt;=1))),MIN(E47,C47*Inputs!$B$16)*Inputs!$B$15,"UNKNOWN MATCH"),0),"UNKNOWN MATCH"),"UNKNOWN MATCH")</f>
        <v>0</v>
      </c>
      <c r="I47" s="9">
        <f>IFERROR(IF(Inputs!$B$36="OK",IF(A47&lt;=Inputs!$B$6,IF(AND(ISNUMBER(H47),AND(ISNUMBER(Inputs!$B$17),Inputs!$B$17&gt;=0,Inputs!$B$17&lt;=1)),H47*Inputs!$B$17,"UNKNOWN VESTING"),0),"UNKNOWN VESTING"),"UNKNOWN VESTING")</f>
        <v>0</v>
      </c>
      <c r="J47" s="5"/>
      <c r="K47" s="2" t="str">
        <f>IFERROR(IF(Inputs!$B$36="OK",IF(A47&lt;=Inputs!$B$6,IF(AND(ISNUMBER(B47),ISNUMBER(Inputs!$B$4),YEAR(B47)=Inputs!$B$4),"OK","FIX DATE"),""),"PENDING"),"PENDING")</f>
        <v/>
      </c>
      <c r="L47" s="9">
        <f>IFERROR(IF(Inputs!$B$36="OK",IF(A47&lt;=Inputs!$B$6,IF(ISNUMBER(H47),MAX(0,C47*Inputs!$B$16*Inputs!$B$15-H47),"UNKNOWN MATCH"),0),"UNKNOWN MATCH"),"UNKNOWN MATCH")</f>
        <v>0</v>
      </c>
      <c r="M47" s="28">
        <f>IFERROR(IF(OR(NOT(A47&lt;=Inputs!$B$6),K47="OK"),IF(A47&lt;=Inputs!$B$6,MONTH(B47),0),"PENDING"),"PENDING")</f>
        <v>0</v>
      </c>
      <c r="N47" s="28" t="str">
        <f>IFERROR(IF(Inputs!$B$36="OK",IF(A47&lt;=Inputs!$B$6,IF(AND(K47="OK",Inputs!$B$37="OK",M47&gt;=Inputs!$B$32,M47&lt;=Inputs!$B$33),"OK","FIX PERIOD"),""),"PENDING"),"PENDING")</f>
        <v/>
      </c>
    </row>
    <row r="48" spans="1:14" ht="27.95" customHeight="1" x14ac:dyDescent="0.25">
      <c r="A48" s="2">
        <v>44</v>
      </c>
      <c r="B48" s="6" t="str">
        <f>IFERROR(IF(AND(Inputs!$B$36="OK",COUNT(Inputs!$B$7:$B$8)=2,Inputs!$B$7&gt;0,Inputs!$B$8&gt;=1),IF(A48&lt;=Inputs!$B$6,Inputs!$B$7+(A48-1)*Inputs!$B$8,""),"PENDING"),"PENDING")</f>
        <v/>
      </c>
      <c r="C48" s="5">
        <f>IFERROR(IF(Inputs!$B$36="OK",IF(A48&lt;=Inputs!$B$6,IF(AND(ISNUMBER(Inputs!$B$5),Inputs!$B$5&gt;=0),Inputs!$B$5/Inputs!$B$27,"PENDING"),0),"PENDING"),"PENDING")</f>
        <v>0</v>
      </c>
      <c r="D48" s="11">
        <f>IFERROR(IF(Inputs!$B$36="OK",IF(A48&lt;=Inputs!$B$6,IF(AND(ISNUMBER(Inputs!$B$21),Inputs!$B$21=INT(Inputs!$B$21),Inputs!$B$21&gt;=1,Inputs!$B$21&lt;=53,IF(A48&lt;Inputs!$B$21,ISNUMBER(Inputs!$B$20),ISNUMBER(Inputs!$B$22)),IF(A48&lt;Inputs!$B$21,Inputs!$B$20,Inputs!$B$22)&gt;=0,IF(A48&lt;Inputs!$B$21,Inputs!$B$20,Inputs!$B$22)&lt;=1),IF(A48&lt;Inputs!$B$21,Inputs!$B$20,Inputs!$B$22),"PENDING"),0),"PENDING"),"PENDING")</f>
        <v>0</v>
      </c>
      <c r="E48" s="9">
        <f>IFERROR(IF(Inputs!$B$36="OK",IF(A48&lt;=Inputs!$B$6,IF(AND(AND(ISNUMBER(C48),C48&gt;=0),AND(ISNUMBER(D48),D48&gt;=0,D48&lt;=1)),C48*D48,"PENDING"),0),"PENDING"),"PENDING")</f>
        <v>0</v>
      </c>
      <c r="F48" s="9">
        <f>IFERROR(IF(Inputs!$B$36="OK",IF(A48&lt;=Inputs!$B$6,IF(AND(ISNUMBER(E48),AND(ISNUMBER(Inputs!$B$23),Inputs!$B$23&gt;=0,Inputs!$B$23&lt;=1)),E48*(1-Inputs!$B$23),"PENDING"),0),"PENDING"),"PENDING")</f>
        <v>0</v>
      </c>
      <c r="G48" s="9">
        <f>IFERROR(IF(Inputs!$B$36="OK",IF(A48&lt;=Inputs!$B$6,IF(AND(ISNUMBER(E48),AND(ISNUMBER(Inputs!$B$23),Inputs!$B$23&gt;=0,Inputs!$B$23&lt;=1)),E48*Inputs!$B$23,"PENDING"),0),"PENDING"),"PENDING")</f>
        <v>0</v>
      </c>
      <c r="H48" s="9">
        <f>IFERROR(IF(Inputs!$B$36="OK",IF(A48&lt;=Inputs!$B$6,IF(AND(ISNUMBER(E48),ISNUMBER(C48),AND(Inputs!$B$14=1,AND(ISNUMBER(Inputs!$B$15),Inputs!$B$15&gt;=0,Inputs!$B$15&lt;=10),AND(ISNUMBER(Inputs!$B$16),Inputs!$B$16&gt;=0,Inputs!$B$16&lt;=1))),MIN(E48,C48*Inputs!$B$16)*Inputs!$B$15,"UNKNOWN MATCH"),0),"UNKNOWN MATCH"),"UNKNOWN MATCH")</f>
        <v>0</v>
      </c>
      <c r="I48" s="9">
        <f>IFERROR(IF(Inputs!$B$36="OK",IF(A48&lt;=Inputs!$B$6,IF(AND(ISNUMBER(H48),AND(ISNUMBER(Inputs!$B$17),Inputs!$B$17&gt;=0,Inputs!$B$17&lt;=1)),H48*Inputs!$B$17,"UNKNOWN VESTING"),0),"UNKNOWN VESTING"),"UNKNOWN VESTING")</f>
        <v>0</v>
      </c>
      <c r="J48" s="5"/>
      <c r="K48" s="2" t="str">
        <f>IFERROR(IF(Inputs!$B$36="OK",IF(A48&lt;=Inputs!$B$6,IF(AND(ISNUMBER(B48),ISNUMBER(Inputs!$B$4),YEAR(B48)=Inputs!$B$4),"OK","FIX DATE"),""),"PENDING"),"PENDING")</f>
        <v/>
      </c>
      <c r="L48" s="9">
        <f>IFERROR(IF(Inputs!$B$36="OK",IF(A48&lt;=Inputs!$B$6,IF(ISNUMBER(H48),MAX(0,C48*Inputs!$B$16*Inputs!$B$15-H48),"UNKNOWN MATCH"),0),"UNKNOWN MATCH"),"UNKNOWN MATCH")</f>
        <v>0</v>
      </c>
      <c r="M48" s="28">
        <f>IFERROR(IF(OR(NOT(A48&lt;=Inputs!$B$6),K48="OK"),IF(A48&lt;=Inputs!$B$6,MONTH(B48),0),"PENDING"),"PENDING")</f>
        <v>0</v>
      </c>
      <c r="N48" s="28" t="str">
        <f>IFERROR(IF(Inputs!$B$36="OK",IF(A48&lt;=Inputs!$B$6,IF(AND(K48="OK",Inputs!$B$37="OK",M48&gt;=Inputs!$B$32,M48&lt;=Inputs!$B$33),"OK","FIX PERIOD"),""),"PENDING"),"PENDING")</f>
        <v/>
      </c>
    </row>
    <row r="49" spans="1:14" ht="27.95" customHeight="1" x14ac:dyDescent="0.25">
      <c r="A49" s="2">
        <v>45</v>
      </c>
      <c r="B49" s="6" t="str">
        <f>IFERROR(IF(AND(Inputs!$B$36="OK",COUNT(Inputs!$B$7:$B$8)=2,Inputs!$B$7&gt;0,Inputs!$B$8&gt;=1),IF(A49&lt;=Inputs!$B$6,Inputs!$B$7+(A49-1)*Inputs!$B$8,""),"PENDING"),"PENDING")</f>
        <v/>
      </c>
      <c r="C49" s="5">
        <f>IFERROR(IF(Inputs!$B$36="OK",IF(A49&lt;=Inputs!$B$6,IF(AND(ISNUMBER(Inputs!$B$5),Inputs!$B$5&gt;=0),Inputs!$B$5/Inputs!$B$27,"PENDING"),0),"PENDING"),"PENDING")</f>
        <v>0</v>
      </c>
      <c r="D49" s="11">
        <f>IFERROR(IF(Inputs!$B$36="OK",IF(A49&lt;=Inputs!$B$6,IF(AND(ISNUMBER(Inputs!$B$21),Inputs!$B$21=INT(Inputs!$B$21),Inputs!$B$21&gt;=1,Inputs!$B$21&lt;=53,IF(A49&lt;Inputs!$B$21,ISNUMBER(Inputs!$B$20),ISNUMBER(Inputs!$B$22)),IF(A49&lt;Inputs!$B$21,Inputs!$B$20,Inputs!$B$22)&gt;=0,IF(A49&lt;Inputs!$B$21,Inputs!$B$20,Inputs!$B$22)&lt;=1),IF(A49&lt;Inputs!$B$21,Inputs!$B$20,Inputs!$B$22),"PENDING"),0),"PENDING"),"PENDING")</f>
        <v>0</v>
      </c>
      <c r="E49" s="9">
        <f>IFERROR(IF(Inputs!$B$36="OK",IF(A49&lt;=Inputs!$B$6,IF(AND(AND(ISNUMBER(C49),C49&gt;=0),AND(ISNUMBER(D49),D49&gt;=0,D49&lt;=1)),C49*D49,"PENDING"),0),"PENDING"),"PENDING")</f>
        <v>0</v>
      </c>
      <c r="F49" s="9">
        <f>IFERROR(IF(Inputs!$B$36="OK",IF(A49&lt;=Inputs!$B$6,IF(AND(ISNUMBER(E49),AND(ISNUMBER(Inputs!$B$23),Inputs!$B$23&gt;=0,Inputs!$B$23&lt;=1)),E49*(1-Inputs!$B$23),"PENDING"),0),"PENDING"),"PENDING")</f>
        <v>0</v>
      </c>
      <c r="G49" s="9">
        <f>IFERROR(IF(Inputs!$B$36="OK",IF(A49&lt;=Inputs!$B$6,IF(AND(ISNUMBER(E49),AND(ISNUMBER(Inputs!$B$23),Inputs!$B$23&gt;=0,Inputs!$B$23&lt;=1)),E49*Inputs!$B$23,"PENDING"),0),"PENDING"),"PENDING")</f>
        <v>0</v>
      </c>
      <c r="H49" s="9">
        <f>IFERROR(IF(Inputs!$B$36="OK",IF(A49&lt;=Inputs!$B$6,IF(AND(ISNUMBER(E49),ISNUMBER(C49),AND(Inputs!$B$14=1,AND(ISNUMBER(Inputs!$B$15),Inputs!$B$15&gt;=0,Inputs!$B$15&lt;=10),AND(ISNUMBER(Inputs!$B$16),Inputs!$B$16&gt;=0,Inputs!$B$16&lt;=1))),MIN(E49,C49*Inputs!$B$16)*Inputs!$B$15,"UNKNOWN MATCH"),0),"UNKNOWN MATCH"),"UNKNOWN MATCH")</f>
        <v>0</v>
      </c>
      <c r="I49" s="9">
        <f>IFERROR(IF(Inputs!$B$36="OK",IF(A49&lt;=Inputs!$B$6,IF(AND(ISNUMBER(H49),AND(ISNUMBER(Inputs!$B$17),Inputs!$B$17&gt;=0,Inputs!$B$17&lt;=1)),H49*Inputs!$B$17,"UNKNOWN VESTING"),0),"UNKNOWN VESTING"),"UNKNOWN VESTING")</f>
        <v>0</v>
      </c>
      <c r="J49" s="5"/>
      <c r="K49" s="2" t="str">
        <f>IFERROR(IF(Inputs!$B$36="OK",IF(A49&lt;=Inputs!$B$6,IF(AND(ISNUMBER(B49),ISNUMBER(Inputs!$B$4),YEAR(B49)=Inputs!$B$4),"OK","FIX DATE"),""),"PENDING"),"PENDING")</f>
        <v/>
      </c>
      <c r="L49" s="9">
        <f>IFERROR(IF(Inputs!$B$36="OK",IF(A49&lt;=Inputs!$B$6,IF(ISNUMBER(H49),MAX(0,C49*Inputs!$B$16*Inputs!$B$15-H49),"UNKNOWN MATCH"),0),"UNKNOWN MATCH"),"UNKNOWN MATCH")</f>
        <v>0</v>
      </c>
      <c r="M49" s="28">
        <f>IFERROR(IF(OR(NOT(A49&lt;=Inputs!$B$6),K49="OK"),IF(A49&lt;=Inputs!$B$6,MONTH(B49),0),"PENDING"),"PENDING")</f>
        <v>0</v>
      </c>
      <c r="N49" s="28" t="str">
        <f>IFERROR(IF(Inputs!$B$36="OK",IF(A49&lt;=Inputs!$B$6,IF(AND(K49="OK",Inputs!$B$37="OK",M49&gt;=Inputs!$B$32,M49&lt;=Inputs!$B$33),"OK","FIX PERIOD"),""),"PENDING"),"PENDING")</f>
        <v/>
      </c>
    </row>
    <row r="50" spans="1:14" ht="27.95" customHeight="1" x14ac:dyDescent="0.25">
      <c r="A50" s="2">
        <v>46</v>
      </c>
      <c r="B50" s="6" t="str">
        <f>IFERROR(IF(AND(Inputs!$B$36="OK",COUNT(Inputs!$B$7:$B$8)=2,Inputs!$B$7&gt;0,Inputs!$B$8&gt;=1),IF(A50&lt;=Inputs!$B$6,Inputs!$B$7+(A50-1)*Inputs!$B$8,""),"PENDING"),"PENDING")</f>
        <v/>
      </c>
      <c r="C50" s="5">
        <f>IFERROR(IF(Inputs!$B$36="OK",IF(A50&lt;=Inputs!$B$6,IF(AND(ISNUMBER(Inputs!$B$5),Inputs!$B$5&gt;=0),Inputs!$B$5/Inputs!$B$27,"PENDING"),0),"PENDING"),"PENDING")</f>
        <v>0</v>
      </c>
      <c r="D50" s="11">
        <f>IFERROR(IF(Inputs!$B$36="OK",IF(A50&lt;=Inputs!$B$6,IF(AND(ISNUMBER(Inputs!$B$21),Inputs!$B$21=INT(Inputs!$B$21),Inputs!$B$21&gt;=1,Inputs!$B$21&lt;=53,IF(A50&lt;Inputs!$B$21,ISNUMBER(Inputs!$B$20),ISNUMBER(Inputs!$B$22)),IF(A50&lt;Inputs!$B$21,Inputs!$B$20,Inputs!$B$22)&gt;=0,IF(A50&lt;Inputs!$B$21,Inputs!$B$20,Inputs!$B$22)&lt;=1),IF(A50&lt;Inputs!$B$21,Inputs!$B$20,Inputs!$B$22),"PENDING"),0),"PENDING"),"PENDING")</f>
        <v>0</v>
      </c>
      <c r="E50" s="9">
        <f>IFERROR(IF(Inputs!$B$36="OK",IF(A50&lt;=Inputs!$B$6,IF(AND(AND(ISNUMBER(C50),C50&gt;=0),AND(ISNUMBER(D50),D50&gt;=0,D50&lt;=1)),C50*D50,"PENDING"),0),"PENDING"),"PENDING")</f>
        <v>0</v>
      </c>
      <c r="F50" s="9">
        <f>IFERROR(IF(Inputs!$B$36="OK",IF(A50&lt;=Inputs!$B$6,IF(AND(ISNUMBER(E50),AND(ISNUMBER(Inputs!$B$23),Inputs!$B$23&gt;=0,Inputs!$B$23&lt;=1)),E50*(1-Inputs!$B$23),"PENDING"),0),"PENDING"),"PENDING")</f>
        <v>0</v>
      </c>
      <c r="G50" s="9">
        <f>IFERROR(IF(Inputs!$B$36="OK",IF(A50&lt;=Inputs!$B$6,IF(AND(ISNUMBER(E50),AND(ISNUMBER(Inputs!$B$23),Inputs!$B$23&gt;=0,Inputs!$B$23&lt;=1)),E50*Inputs!$B$23,"PENDING"),0),"PENDING"),"PENDING")</f>
        <v>0</v>
      </c>
      <c r="H50" s="9">
        <f>IFERROR(IF(Inputs!$B$36="OK",IF(A50&lt;=Inputs!$B$6,IF(AND(ISNUMBER(E50),ISNUMBER(C50),AND(Inputs!$B$14=1,AND(ISNUMBER(Inputs!$B$15),Inputs!$B$15&gt;=0,Inputs!$B$15&lt;=10),AND(ISNUMBER(Inputs!$B$16),Inputs!$B$16&gt;=0,Inputs!$B$16&lt;=1))),MIN(E50,C50*Inputs!$B$16)*Inputs!$B$15,"UNKNOWN MATCH"),0),"UNKNOWN MATCH"),"UNKNOWN MATCH")</f>
        <v>0</v>
      </c>
      <c r="I50" s="9">
        <f>IFERROR(IF(Inputs!$B$36="OK",IF(A50&lt;=Inputs!$B$6,IF(AND(ISNUMBER(H50),AND(ISNUMBER(Inputs!$B$17),Inputs!$B$17&gt;=0,Inputs!$B$17&lt;=1)),H50*Inputs!$B$17,"UNKNOWN VESTING"),0),"UNKNOWN VESTING"),"UNKNOWN VESTING")</f>
        <v>0</v>
      </c>
      <c r="J50" s="5"/>
      <c r="K50" s="2" t="str">
        <f>IFERROR(IF(Inputs!$B$36="OK",IF(A50&lt;=Inputs!$B$6,IF(AND(ISNUMBER(B50),ISNUMBER(Inputs!$B$4),YEAR(B50)=Inputs!$B$4),"OK","FIX DATE"),""),"PENDING"),"PENDING")</f>
        <v/>
      </c>
      <c r="L50" s="9">
        <f>IFERROR(IF(Inputs!$B$36="OK",IF(A50&lt;=Inputs!$B$6,IF(ISNUMBER(H50),MAX(0,C50*Inputs!$B$16*Inputs!$B$15-H50),"UNKNOWN MATCH"),0),"UNKNOWN MATCH"),"UNKNOWN MATCH")</f>
        <v>0</v>
      </c>
      <c r="M50" s="28">
        <f>IFERROR(IF(OR(NOT(A50&lt;=Inputs!$B$6),K50="OK"),IF(A50&lt;=Inputs!$B$6,MONTH(B50),0),"PENDING"),"PENDING")</f>
        <v>0</v>
      </c>
      <c r="N50" s="28" t="str">
        <f>IFERROR(IF(Inputs!$B$36="OK",IF(A50&lt;=Inputs!$B$6,IF(AND(K50="OK",Inputs!$B$37="OK",M50&gt;=Inputs!$B$32,M50&lt;=Inputs!$B$33),"OK","FIX PERIOD"),""),"PENDING"),"PENDING")</f>
        <v/>
      </c>
    </row>
    <row r="51" spans="1:14" ht="27.95" customHeight="1" x14ac:dyDescent="0.25">
      <c r="A51" s="2">
        <v>47</v>
      </c>
      <c r="B51" s="6" t="str">
        <f>IFERROR(IF(AND(Inputs!$B$36="OK",COUNT(Inputs!$B$7:$B$8)=2,Inputs!$B$7&gt;0,Inputs!$B$8&gt;=1),IF(A51&lt;=Inputs!$B$6,Inputs!$B$7+(A51-1)*Inputs!$B$8,""),"PENDING"),"PENDING")</f>
        <v/>
      </c>
      <c r="C51" s="5">
        <f>IFERROR(IF(Inputs!$B$36="OK",IF(A51&lt;=Inputs!$B$6,IF(AND(ISNUMBER(Inputs!$B$5),Inputs!$B$5&gt;=0),Inputs!$B$5/Inputs!$B$27,"PENDING"),0),"PENDING"),"PENDING")</f>
        <v>0</v>
      </c>
      <c r="D51" s="11">
        <f>IFERROR(IF(Inputs!$B$36="OK",IF(A51&lt;=Inputs!$B$6,IF(AND(ISNUMBER(Inputs!$B$21),Inputs!$B$21=INT(Inputs!$B$21),Inputs!$B$21&gt;=1,Inputs!$B$21&lt;=53,IF(A51&lt;Inputs!$B$21,ISNUMBER(Inputs!$B$20),ISNUMBER(Inputs!$B$22)),IF(A51&lt;Inputs!$B$21,Inputs!$B$20,Inputs!$B$22)&gt;=0,IF(A51&lt;Inputs!$B$21,Inputs!$B$20,Inputs!$B$22)&lt;=1),IF(A51&lt;Inputs!$B$21,Inputs!$B$20,Inputs!$B$22),"PENDING"),0),"PENDING"),"PENDING")</f>
        <v>0</v>
      </c>
      <c r="E51" s="9">
        <f>IFERROR(IF(Inputs!$B$36="OK",IF(A51&lt;=Inputs!$B$6,IF(AND(AND(ISNUMBER(C51),C51&gt;=0),AND(ISNUMBER(D51),D51&gt;=0,D51&lt;=1)),C51*D51,"PENDING"),0),"PENDING"),"PENDING")</f>
        <v>0</v>
      </c>
      <c r="F51" s="9">
        <f>IFERROR(IF(Inputs!$B$36="OK",IF(A51&lt;=Inputs!$B$6,IF(AND(ISNUMBER(E51),AND(ISNUMBER(Inputs!$B$23),Inputs!$B$23&gt;=0,Inputs!$B$23&lt;=1)),E51*(1-Inputs!$B$23),"PENDING"),0),"PENDING"),"PENDING")</f>
        <v>0</v>
      </c>
      <c r="G51" s="9">
        <f>IFERROR(IF(Inputs!$B$36="OK",IF(A51&lt;=Inputs!$B$6,IF(AND(ISNUMBER(E51),AND(ISNUMBER(Inputs!$B$23),Inputs!$B$23&gt;=0,Inputs!$B$23&lt;=1)),E51*Inputs!$B$23,"PENDING"),0),"PENDING"),"PENDING")</f>
        <v>0</v>
      </c>
      <c r="H51" s="9">
        <f>IFERROR(IF(Inputs!$B$36="OK",IF(A51&lt;=Inputs!$B$6,IF(AND(ISNUMBER(E51),ISNUMBER(C51),AND(Inputs!$B$14=1,AND(ISNUMBER(Inputs!$B$15),Inputs!$B$15&gt;=0,Inputs!$B$15&lt;=10),AND(ISNUMBER(Inputs!$B$16),Inputs!$B$16&gt;=0,Inputs!$B$16&lt;=1))),MIN(E51,C51*Inputs!$B$16)*Inputs!$B$15,"UNKNOWN MATCH"),0),"UNKNOWN MATCH"),"UNKNOWN MATCH")</f>
        <v>0</v>
      </c>
      <c r="I51" s="9">
        <f>IFERROR(IF(Inputs!$B$36="OK",IF(A51&lt;=Inputs!$B$6,IF(AND(ISNUMBER(H51),AND(ISNUMBER(Inputs!$B$17),Inputs!$B$17&gt;=0,Inputs!$B$17&lt;=1)),H51*Inputs!$B$17,"UNKNOWN VESTING"),0),"UNKNOWN VESTING"),"UNKNOWN VESTING")</f>
        <v>0</v>
      </c>
      <c r="J51" s="5"/>
      <c r="K51" s="2" t="str">
        <f>IFERROR(IF(Inputs!$B$36="OK",IF(A51&lt;=Inputs!$B$6,IF(AND(ISNUMBER(B51),ISNUMBER(Inputs!$B$4),YEAR(B51)=Inputs!$B$4),"OK","FIX DATE"),""),"PENDING"),"PENDING")</f>
        <v/>
      </c>
      <c r="L51" s="9">
        <f>IFERROR(IF(Inputs!$B$36="OK",IF(A51&lt;=Inputs!$B$6,IF(ISNUMBER(H51),MAX(0,C51*Inputs!$B$16*Inputs!$B$15-H51),"UNKNOWN MATCH"),0),"UNKNOWN MATCH"),"UNKNOWN MATCH")</f>
        <v>0</v>
      </c>
      <c r="M51" s="28">
        <f>IFERROR(IF(OR(NOT(A51&lt;=Inputs!$B$6),K51="OK"),IF(A51&lt;=Inputs!$B$6,MONTH(B51),0),"PENDING"),"PENDING")</f>
        <v>0</v>
      </c>
      <c r="N51" s="28" t="str">
        <f>IFERROR(IF(Inputs!$B$36="OK",IF(A51&lt;=Inputs!$B$6,IF(AND(K51="OK",Inputs!$B$37="OK",M51&gt;=Inputs!$B$32,M51&lt;=Inputs!$B$33),"OK","FIX PERIOD"),""),"PENDING"),"PENDING")</f>
        <v/>
      </c>
    </row>
    <row r="52" spans="1:14" ht="27.95" customHeight="1" x14ac:dyDescent="0.25">
      <c r="A52" s="2">
        <v>48</v>
      </c>
      <c r="B52" s="6" t="str">
        <f>IFERROR(IF(AND(Inputs!$B$36="OK",COUNT(Inputs!$B$7:$B$8)=2,Inputs!$B$7&gt;0,Inputs!$B$8&gt;=1),IF(A52&lt;=Inputs!$B$6,Inputs!$B$7+(A52-1)*Inputs!$B$8,""),"PENDING"),"PENDING")</f>
        <v/>
      </c>
      <c r="C52" s="5">
        <f>IFERROR(IF(Inputs!$B$36="OK",IF(A52&lt;=Inputs!$B$6,IF(AND(ISNUMBER(Inputs!$B$5),Inputs!$B$5&gt;=0),Inputs!$B$5/Inputs!$B$27,"PENDING"),0),"PENDING"),"PENDING")</f>
        <v>0</v>
      </c>
      <c r="D52" s="11">
        <f>IFERROR(IF(Inputs!$B$36="OK",IF(A52&lt;=Inputs!$B$6,IF(AND(ISNUMBER(Inputs!$B$21),Inputs!$B$21=INT(Inputs!$B$21),Inputs!$B$21&gt;=1,Inputs!$B$21&lt;=53,IF(A52&lt;Inputs!$B$21,ISNUMBER(Inputs!$B$20),ISNUMBER(Inputs!$B$22)),IF(A52&lt;Inputs!$B$21,Inputs!$B$20,Inputs!$B$22)&gt;=0,IF(A52&lt;Inputs!$B$21,Inputs!$B$20,Inputs!$B$22)&lt;=1),IF(A52&lt;Inputs!$B$21,Inputs!$B$20,Inputs!$B$22),"PENDING"),0),"PENDING"),"PENDING")</f>
        <v>0</v>
      </c>
      <c r="E52" s="9">
        <f>IFERROR(IF(Inputs!$B$36="OK",IF(A52&lt;=Inputs!$B$6,IF(AND(AND(ISNUMBER(C52),C52&gt;=0),AND(ISNUMBER(D52),D52&gt;=0,D52&lt;=1)),C52*D52,"PENDING"),0),"PENDING"),"PENDING")</f>
        <v>0</v>
      </c>
      <c r="F52" s="9">
        <f>IFERROR(IF(Inputs!$B$36="OK",IF(A52&lt;=Inputs!$B$6,IF(AND(ISNUMBER(E52),AND(ISNUMBER(Inputs!$B$23),Inputs!$B$23&gt;=0,Inputs!$B$23&lt;=1)),E52*(1-Inputs!$B$23),"PENDING"),0),"PENDING"),"PENDING")</f>
        <v>0</v>
      </c>
      <c r="G52" s="9">
        <f>IFERROR(IF(Inputs!$B$36="OK",IF(A52&lt;=Inputs!$B$6,IF(AND(ISNUMBER(E52),AND(ISNUMBER(Inputs!$B$23),Inputs!$B$23&gt;=0,Inputs!$B$23&lt;=1)),E52*Inputs!$B$23,"PENDING"),0),"PENDING"),"PENDING")</f>
        <v>0</v>
      </c>
      <c r="H52" s="9">
        <f>IFERROR(IF(Inputs!$B$36="OK",IF(A52&lt;=Inputs!$B$6,IF(AND(ISNUMBER(E52),ISNUMBER(C52),AND(Inputs!$B$14=1,AND(ISNUMBER(Inputs!$B$15),Inputs!$B$15&gt;=0,Inputs!$B$15&lt;=10),AND(ISNUMBER(Inputs!$B$16),Inputs!$B$16&gt;=0,Inputs!$B$16&lt;=1))),MIN(E52,C52*Inputs!$B$16)*Inputs!$B$15,"UNKNOWN MATCH"),0),"UNKNOWN MATCH"),"UNKNOWN MATCH")</f>
        <v>0</v>
      </c>
      <c r="I52" s="9">
        <f>IFERROR(IF(Inputs!$B$36="OK",IF(A52&lt;=Inputs!$B$6,IF(AND(ISNUMBER(H52),AND(ISNUMBER(Inputs!$B$17),Inputs!$B$17&gt;=0,Inputs!$B$17&lt;=1)),H52*Inputs!$B$17,"UNKNOWN VESTING"),0),"UNKNOWN VESTING"),"UNKNOWN VESTING")</f>
        <v>0</v>
      </c>
      <c r="J52" s="5"/>
      <c r="K52" s="2" t="str">
        <f>IFERROR(IF(Inputs!$B$36="OK",IF(A52&lt;=Inputs!$B$6,IF(AND(ISNUMBER(B52),ISNUMBER(Inputs!$B$4),YEAR(B52)=Inputs!$B$4),"OK","FIX DATE"),""),"PENDING"),"PENDING")</f>
        <v/>
      </c>
      <c r="L52" s="9">
        <f>IFERROR(IF(Inputs!$B$36="OK",IF(A52&lt;=Inputs!$B$6,IF(ISNUMBER(H52),MAX(0,C52*Inputs!$B$16*Inputs!$B$15-H52),"UNKNOWN MATCH"),0),"UNKNOWN MATCH"),"UNKNOWN MATCH")</f>
        <v>0</v>
      </c>
      <c r="M52" s="28">
        <f>IFERROR(IF(OR(NOT(A52&lt;=Inputs!$B$6),K52="OK"),IF(A52&lt;=Inputs!$B$6,MONTH(B52),0),"PENDING"),"PENDING")</f>
        <v>0</v>
      </c>
      <c r="N52" s="28" t="str">
        <f>IFERROR(IF(Inputs!$B$36="OK",IF(A52&lt;=Inputs!$B$6,IF(AND(K52="OK",Inputs!$B$37="OK",M52&gt;=Inputs!$B$32,M52&lt;=Inputs!$B$33),"OK","FIX PERIOD"),""),"PENDING"),"PENDING")</f>
        <v/>
      </c>
    </row>
    <row r="53" spans="1:14" ht="27.95" customHeight="1" x14ac:dyDescent="0.25">
      <c r="A53" s="2">
        <v>49</v>
      </c>
      <c r="B53" s="6" t="str">
        <f>IFERROR(IF(AND(Inputs!$B$36="OK",COUNT(Inputs!$B$7:$B$8)=2,Inputs!$B$7&gt;0,Inputs!$B$8&gt;=1),IF(A53&lt;=Inputs!$B$6,Inputs!$B$7+(A53-1)*Inputs!$B$8,""),"PENDING"),"PENDING")</f>
        <v/>
      </c>
      <c r="C53" s="5">
        <f>IFERROR(IF(Inputs!$B$36="OK",IF(A53&lt;=Inputs!$B$6,IF(AND(ISNUMBER(Inputs!$B$5),Inputs!$B$5&gt;=0),Inputs!$B$5/Inputs!$B$27,"PENDING"),0),"PENDING"),"PENDING")</f>
        <v>0</v>
      </c>
      <c r="D53" s="11">
        <f>IFERROR(IF(Inputs!$B$36="OK",IF(A53&lt;=Inputs!$B$6,IF(AND(ISNUMBER(Inputs!$B$21),Inputs!$B$21=INT(Inputs!$B$21),Inputs!$B$21&gt;=1,Inputs!$B$21&lt;=53,IF(A53&lt;Inputs!$B$21,ISNUMBER(Inputs!$B$20),ISNUMBER(Inputs!$B$22)),IF(A53&lt;Inputs!$B$21,Inputs!$B$20,Inputs!$B$22)&gt;=0,IF(A53&lt;Inputs!$B$21,Inputs!$B$20,Inputs!$B$22)&lt;=1),IF(A53&lt;Inputs!$B$21,Inputs!$B$20,Inputs!$B$22),"PENDING"),0),"PENDING"),"PENDING")</f>
        <v>0</v>
      </c>
      <c r="E53" s="9">
        <f>IFERROR(IF(Inputs!$B$36="OK",IF(A53&lt;=Inputs!$B$6,IF(AND(AND(ISNUMBER(C53),C53&gt;=0),AND(ISNUMBER(D53),D53&gt;=0,D53&lt;=1)),C53*D53,"PENDING"),0),"PENDING"),"PENDING")</f>
        <v>0</v>
      </c>
      <c r="F53" s="9">
        <f>IFERROR(IF(Inputs!$B$36="OK",IF(A53&lt;=Inputs!$B$6,IF(AND(ISNUMBER(E53),AND(ISNUMBER(Inputs!$B$23),Inputs!$B$23&gt;=0,Inputs!$B$23&lt;=1)),E53*(1-Inputs!$B$23),"PENDING"),0),"PENDING"),"PENDING")</f>
        <v>0</v>
      </c>
      <c r="G53" s="9">
        <f>IFERROR(IF(Inputs!$B$36="OK",IF(A53&lt;=Inputs!$B$6,IF(AND(ISNUMBER(E53),AND(ISNUMBER(Inputs!$B$23),Inputs!$B$23&gt;=0,Inputs!$B$23&lt;=1)),E53*Inputs!$B$23,"PENDING"),0),"PENDING"),"PENDING")</f>
        <v>0</v>
      </c>
      <c r="H53" s="9">
        <f>IFERROR(IF(Inputs!$B$36="OK",IF(A53&lt;=Inputs!$B$6,IF(AND(ISNUMBER(E53),ISNUMBER(C53),AND(Inputs!$B$14=1,AND(ISNUMBER(Inputs!$B$15),Inputs!$B$15&gt;=0,Inputs!$B$15&lt;=10),AND(ISNUMBER(Inputs!$B$16),Inputs!$B$16&gt;=0,Inputs!$B$16&lt;=1))),MIN(E53,C53*Inputs!$B$16)*Inputs!$B$15,"UNKNOWN MATCH"),0),"UNKNOWN MATCH"),"UNKNOWN MATCH")</f>
        <v>0</v>
      </c>
      <c r="I53" s="9">
        <f>IFERROR(IF(Inputs!$B$36="OK",IF(A53&lt;=Inputs!$B$6,IF(AND(ISNUMBER(H53),AND(ISNUMBER(Inputs!$B$17),Inputs!$B$17&gt;=0,Inputs!$B$17&lt;=1)),H53*Inputs!$B$17,"UNKNOWN VESTING"),0),"UNKNOWN VESTING"),"UNKNOWN VESTING")</f>
        <v>0</v>
      </c>
      <c r="J53" s="5"/>
      <c r="K53" s="2" t="str">
        <f>IFERROR(IF(Inputs!$B$36="OK",IF(A53&lt;=Inputs!$B$6,IF(AND(ISNUMBER(B53),ISNUMBER(Inputs!$B$4),YEAR(B53)=Inputs!$B$4),"OK","FIX DATE"),""),"PENDING"),"PENDING")</f>
        <v/>
      </c>
      <c r="L53" s="9">
        <f>IFERROR(IF(Inputs!$B$36="OK",IF(A53&lt;=Inputs!$B$6,IF(ISNUMBER(H53),MAX(0,C53*Inputs!$B$16*Inputs!$B$15-H53),"UNKNOWN MATCH"),0),"UNKNOWN MATCH"),"UNKNOWN MATCH")</f>
        <v>0</v>
      </c>
      <c r="M53" s="28">
        <f>IFERROR(IF(OR(NOT(A53&lt;=Inputs!$B$6),K53="OK"),IF(A53&lt;=Inputs!$B$6,MONTH(B53),0),"PENDING"),"PENDING")</f>
        <v>0</v>
      </c>
      <c r="N53" s="28" t="str">
        <f>IFERROR(IF(Inputs!$B$36="OK",IF(A53&lt;=Inputs!$B$6,IF(AND(K53="OK",Inputs!$B$37="OK",M53&gt;=Inputs!$B$32,M53&lt;=Inputs!$B$33),"OK","FIX PERIOD"),""),"PENDING"),"PENDING")</f>
        <v/>
      </c>
    </row>
    <row r="54" spans="1:14" ht="27.95" customHeight="1" x14ac:dyDescent="0.25">
      <c r="A54" s="2">
        <v>50</v>
      </c>
      <c r="B54" s="6" t="str">
        <f>IFERROR(IF(AND(Inputs!$B$36="OK",COUNT(Inputs!$B$7:$B$8)=2,Inputs!$B$7&gt;0,Inputs!$B$8&gt;=1),IF(A54&lt;=Inputs!$B$6,Inputs!$B$7+(A54-1)*Inputs!$B$8,""),"PENDING"),"PENDING")</f>
        <v/>
      </c>
      <c r="C54" s="5">
        <f>IFERROR(IF(Inputs!$B$36="OK",IF(A54&lt;=Inputs!$B$6,IF(AND(ISNUMBER(Inputs!$B$5),Inputs!$B$5&gt;=0),Inputs!$B$5/Inputs!$B$27,"PENDING"),0),"PENDING"),"PENDING")</f>
        <v>0</v>
      </c>
      <c r="D54" s="11">
        <f>IFERROR(IF(Inputs!$B$36="OK",IF(A54&lt;=Inputs!$B$6,IF(AND(ISNUMBER(Inputs!$B$21),Inputs!$B$21=INT(Inputs!$B$21),Inputs!$B$21&gt;=1,Inputs!$B$21&lt;=53,IF(A54&lt;Inputs!$B$21,ISNUMBER(Inputs!$B$20),ISNUMBER(Inputs!$B$22)),IF(A54&lt;Inputs!$B$21,Inputs!$B$20,Inputs!$B$22)&gt;=0,IF(A54&lt;Inputs!$B$21,Inputs!$B$20,Inputs!$B$22)&lt;=1),IF(A54&lt;Inputs!$B$21,Inputs!$B$20,Inputs!$B$22),"PENDING"),0),"PENDING"),"PENDING")</f>
        <v>0</v>
      </c>
      <c r="E54" s="9">
        <f>IFERROR(IF(Inputs!$B$36="OK",IF(A54&lt;=Inputs!$B$6,IF(AND(AND(ISNUMBER(C54),C54&gt;=0),AND(ISNUMBER(D54),D54&gt;=0,D54&lt;=1)),C54*D54,"PENDING"),0),"PENDING"),"PENDING")</f>
        <v>0</v>
      </c>
      <c r="F54" s="9">
        <f>IFERROR(IF(Inputs!$B$36="OK",IF(A54&lt;=Inputs!$B$6,IF(AND(ISNUMBER(E54),AND(ISNUMBER(Inputs!$B$23),Inputs!$B$23&gt;=0,Inputs!$B$23&lt;=1)),E54*(1-Inputs!$B$23),"PENDING"),0),"PENDING"),"PENDING")</f>
        <v>0</v>
      </c>
      <c r="G54" s="9">
        <f>IFERROR(IF(Inputs!$B$36="OK",IF(A54&lt;=Inputs!$B$6,IF(AND(ISNUMBER(E54),AND(ISNUMBER(Inputs!$B$23),Inputs!$B$23&gt;=0,Inputs!$B$23&lt;=1)),E54*Inputs!$B$23,"PENDING"),0),"PENDING"),"PENDING")</f>
        <v>0</v>
      </c>
      <c r="H54" s="9">
        <f>IFERROR(IF(Inputs!$B$36="OK",IF(A54&lt;=Inputs!$B$6,IF(AND(ISNUMBER(E54),ISNUMBER(C54),AND(Inputs!$B$14=1,AND(ISNUMBER(Inputs!$B$15),Inputs!$B$15&gt;=0,Inputs!$B$15&lt;=10),AND(ISNUMBER(Inputs!$B$16),Inputs!$B$16&gt;=0,Inputs!$B$16&lt;=1))),MIN(E54,C54*Inputs!$B$16)*Inputs!$B$15,"UNKNOWN MATCH"),0),"UNKNOWN MATCH"),"UNKNOWN MATCH")</f>
        <v>0</v>
      </c>
      <c r="I54" s="9">
        <f>IFERROR(IF(Inputs!$B$36="OK",IF(A54&lt;=Inputs!$B$6,IF(AND(ISNUMBER(H54),AND(ISNUMBER(Inputs!$B$17),Inputs!$B$17&gt;=0,Inputs!$B$17&lt;=1)),H54*Inputs!$B$17,"UNKNOWN VESTING"),0),"UNKNOWN VESTING"),"UNKNOWN VESTING")</f>
        <v>0</v>
      </c>
      <c r="J54" s="5"/>
      <c r="K54" s="2" t="str">
        <f>IFERROR(IF(Inputs!$B$36="OK",IF(A54&lt;=Inputs!$B$6,IF(AND(ISNUMBER(B54),ISNUMBER(Inputs!$B$4),YEAR(B54)=Inputs!$B$4),"OK","FIX DATE"),""),"PENDING"),"PENDING")</f>
        <v/>
      </c>
      <c r="L54" s="9">
        <f>IFERROR(IF(Inputs!$B$36="OK",IF(A54&lt;=Inputs!$B$6,IF(ISNUMBER(H54),MAX(0,C54*Inputs!$B$16*Inputs!$B$15-H54),"UNKNOWN MATCH"),0),"UNKNOWN MATCH"),"UNKNOWN MATCH")</f>
        <v>0</v>
      </c>
      <c r="M54" s="28">
        <f>IFERROR(IF(OR(NOT(A54&lt;=Inputs!$B$6),K54="OK"),IF(A54&lt;=Inputs!$B$6,MONTH(B54),0),"PENDING"),"PENDING")</f>
        <v>0</v>
      </c>
      <c r="N54" s="28" t="str">
        <f>IFERROR(IF(Inputs!$B$36="OK",IF(A54&lt;=Inputs!$B$6,IF(AND(K54="OK",Inputs!$B$37="OK",M54&gt;=Inputs!$B$32,M54&lt;=Inputs!$B$33),"OK","FIX PERIOD"),""),"PENDING"),"PENDING")</f>
        <v/>
      </c>
    </row>
    <row r="55" spans="1:14" ht="27.95" customHeight="1" x14ac:dyDescent="0.25">
      <c r="A55" s="2">
        <v>51</v>
      </c>
      <c r="B55" s="6" t="str">
        <f>IFERROR(IF(AND(Inputs!$B$36="OK",COUNT(Inputs!$B$7:$B$8)=2,Inputs!$B$7&gt;0,Inputs!$B$8&gt;=1),IF(A55&lt;=Inputs!$B$6,Inputs!$B$7+(A55-1)*Inputs!$B$8,""),"PENDING"),"PENDING")</f>
        <v/>
      </c>
      <c r="C55" s="5">
        <f>IFERROR(IF(Inputs!$B$36="OK",IF(A55&lt;=Inputs!$B$6,IF(AND(ISNUMBER(Inputs!$B$5),Inputs!$B$5&gt;=0),Inputs!$B$5/Inputs!$B$27,"PENDING"),0),"PENDING"),"PENDING")</f>
        <v>0</v>
      </c>
      <c r="D55" s="11">
        <f>IFERROR(IF(Inputs!$B$36="OK",IF(A55&lt;=Inputs!$B$6,IF(AND(ISNUMBER(Inputs!$B$21),Inputs!$B$21=INT(Inputs!$B$21),Inputs!$B$21&gt;=1,Inputs!$B$21&lt;=53,IF(A55&lt;Inputs!$B$21,ISNUMBER(Inputs!$B$20),ISNUMBER(Inputs!$B$22)),IF(A55&lt;Inputs!$B$21,Inputs!$B$20,Inputs!$B$22)&gt;=0,IF(A55&lt;Inputs!$B$21,Inputs!$B$20,Inputs!$B$22)&lt;=1),IF(A55&lt;Inputs!$B$21,Inputs!$B$20,Inputs!$B$22),"PENDING"),0),"PENDING"),"PENDING")</f>
        <v>0</v>
      </c>
      <c r="E55" s="9">
        <f>IFERROR(IF(Inputs!$B$36="OK",IF(A55&lt;=Inputs!$B$6,IF(AND(AND(ISNUMBER(C55),C55&gt;=0),AND(ISNUMBER(D55),D55&gt;=0,D55&lt;=1)),C55*D55,"PENDING"),0),"PENDING"),"PENDING")</f>
        <v>0</v>
      </c>
      <c r="F55" s="9">
        <f>IFERROR(IF(Inputs!$B$36="OK",IF(A55&lt;=Inputs!$B$6,IF(AND(ISNUMBER(E55),AND(ISNUMBER(Inputs!$B$23),Inputs!$B$23&gt;=0,Inputs!$B$23&lt;=1)),E55*(1-Inputs!$B$23),"PENDING"),0),"PENDING"),"PENDING")</f>
        <v>0</v>
      </c>
      <c r="G55" s="9">
        <f>IFERROR(IF(Inputs!$B$36="OK",IF(A55&lt;=Inputs!$B$6,IF(AND(ISNUMBER(E55),AND(ISNUMBER(Inputs!$B$23),Inputs!$B$23&gt;=0,Inputs!$B$23&lt;=1)),E55*Inputs!$B$23,"PENDING"),0),"PENDING"),"PENDING")</f>
        <v>0</v>
      </c>
      <c r="H55" s="9">
        <f>IFERROR(IF(Inputs!$B$36="OK",IF(A55&lt;=Inputs!$B$6,IF(AND(ISNUMBER(E55),ISNUMBER(C55),AND(Inputs!$B$14=1,AND(ISNUMBER(Inputs!$B$15),Inputs!$B$15&gt;=0,Inputs!$B$15&lt;=10),AND(ISNUMBER(Inputs!$B$16),Inputs!$B$16&gt;=0,Inputs!$B$16&lt;=1))),MIN(E55,C55*Inputs!$B$16)*Inputs!$B$15,"UNKNOWN MATCH"),0),"UNKNOWN MATCH"),"UNKNOWN MATCH")</f>
        <v>0</v>
      </c>
      <c r="I55" s="9">
        <f>IFERROR(IF(Inputs!$B$36="OK",IF(A55&lt;=Inputs!$B$6,IF(AND(ISNUMBER(H55),AND(ISNUMBER(Inputs!$B$17),Inputs!$B$17&gt;=0,Inputs!$B$17&lt;=1)),H55*Inputs!$B$17,"UNKNOWN VESTING"),0),"UNKNOWN VESTING"),"UNKNOWN VESTING")</f>
        <v>0</v>
      </c>
      <c r="J55" s="5"/>
      <c r="K55" s="2" t="str">
        <f>IFERROR(IF(Inputs!$B$36="OK",IF(A55&lt;=Inputs!$B$6,IF(AND(ISNUMBER(B55),ISNUMBER(Inputs!$B$4),YEAR(B55)=Inputs!$B$4),"OK","FIX DATE"),""),"PENDING"),"PENDING")</f>
        <v/>
      </c>
      <c r="L55" s="9">
        <f>IFERROR(IF(Inputs!$B$36="OK",IF(A55&lt;=Inputs!$B$6,IF(ISNUMBER(H55),MAX(0,C55*Inputs!$B$16*Inputs!$B$15-H55),"UNKNOWN MATCH"),0),"UNKNOWN MATCH"),"UNKNOWN MATCH")</f>
        <v>0</v>
      </c>
      <c r="M55" s="28">
        <f>IFERROR(IF(OR(NOT(A55&lt;=Inputs!$B$6),K55="OK"),IF(A55&lt;=Inputs!$B$6,MONTH(B55),0),"PENDING"),"PENDING")</f>
        <v>0</v>
      </c>
      <c r="N55" s="28" t="str">
        <f>IFERROR(IF(Inputs!$B$36="OK",IF(A55&lt;=Inputs!$B$6,IF(AND(K55="OK",Inputs!$B$37="OK",M55&gt;=Inputs!$B$32,M55&lt;=Inputs!$B$33),"OK","FIX PERIOD"),""),"PENDING"),"PENDING")</f>
        <v/>
      </c>
    </row>
    <row r="56" spans="1:14" ht="27.95" customHeight="1" x14ac:dyDescent="0.25">
      <c r="A56" s="2">
        <v>52</v>
      </c>
      <c r="B56" s="6" t="str">
        <f>IFERROR(IF(AND(Inputs!$B$36="OK",COUNT(Inputs!$B$7:$B$8)=2,Inputs!$B$7&gt;0,Inputs!$B$8&gt;=1),IF(A56&lt;=Inputs!$B$6,Inputs!$B$7+(A56-1)*Inputs!$B$8,""),"PENDING"),"PENDING")</f>
        <v/>
      </c>
      <c r="C56" s="5">
        <f>IFERROR(IF(Inputs!$B$36="OK",IF(A56&lt;=Inputs!$B$6,IF(AND(ISNUMBER(Inputs!$B$5),Inputs!$B$5&gt;=0),Inputs!$B$5/Inputs!$B$27,"PENDING"),0),"PENDING"),"PENDING")</f>
        <v>0</v>
      </c>
      <c r="D56" s="11">
        <f>IFERROR(IF(Inputs!$B$36="OK",IF(A56&lt;=Inputs!$B$6,IF(AND(ISNUMBER(Inputs!$B$21),Inputs!$B$21=INT(Inputs!$B$21),Inputs!$B$21&gt;=1,Inputs!$B$21&lt;=53,IF(A56&lt;Inputs!$B$21,ISNUMBER(Inputs!$B$20),ISNUMBER(Inputs!$B$22)),IF(A56&lt;Inputs!$B$21,Inputs!$B$20,Inputs!$B$22)&gt;=0,IF(A56&lt;Inputs!$B$21,Inputs!$B$20,Inputs!$B$22)&lt;=1),IF(A56&lt;Inputs!$B$21,Inputs!$B$20,Inputs!$B$22),"PENDING"),0),"PENDING"),"PENDING")</f>
        <v>0</v>
      </c>
      <c r="E56" s="9">
        <f>IFERROR(IF(Inputs!$B$36="OK",IF(A56&lt;=Inputs!$B$6,IF(AND(AND(ISNUMBER(C56),C56&gt;=0),AND(ISNUMBER(D56),D56&gt;=0,D56&lt;=1)),C56*D56,"PENDING"),0),"PENDING"),"PENDING")</f>
        <v>0</v>
      </c>
      <c r="F56" s="9">
        <f>IFERROR(IF(Inputs!$B$36="OK",IF(A56&lt;=Inputs!$B$6,IF(AND(ISNUMBER(E56),AND(ISNUMBER(Inputs!$B$23),Inputs!$B$23&gt;=0,Inputs!$B$23&lt;=1)),E56*(1-Inputs!$B$23),"PENDING"),0),"PENDING"),"PENDING")</f>
        <v>0</v>
      </c>
      <c r="G56" s="9">
        <f>IFERROR(IF(Inputs!$B$36="OK",IF(A56&lt;=Inputs!$B$6,IF(AND(ISNUMBER(E56),AND(ISNUMBER(Inputs!$B$23),Inputs!$B$23&gt;=0,Inputs!$B$23&lt;=1)),E56*Inputs!$B$23,"PENDING"),0),"PENDING"),"PENDING")</f>
        <v>0</v>
      </c>
      <c r="H56" s="9">
        <f>IFERROR(IF(Inputs!$B$36="OK",IF(A56&lt;=Inputs!$B$6,IF(AND(ISNUMBER(E56),ISNUMBER(C56),AND(Inputs!$B$14=1,AND(ISNUMBER(Inputs!$B$15),Inputs!$B$15&gt;=0,Inputs!$B$15&lt;=10),AND(ISNUMBER(Inputs!$B$16),Inputs!$B$16&gt;=0,Inputs!$B$16&lt;=1))),MIN(E56,C56*Inputs!$B$16)*Inputs!$B$15,"UNKNOWN MATCH"),0),"UNKNOWN MATCH"),"UNKNOWN MATCH")</f>
        <v>0</v>
      </c>
      <c r="I56" s="9">
        <f>IFERROR(IF(Inputs!$B$36="OK",IF(A56&lt;=Inputs!$B$6,IF(AND(ISNUMBER(H56),AND(ISNUMBER(Inputs!$B$17),Inputs!$B$17&gt;=0,Inputs!$B$17&lt;=1)),H56*Inputs!$B$17,"UNKNOWN VESTING"),0),"UNKNOWN VESTING"),"UNKNOWN VESTING")</f>
        <v>0</v>
      </c>
      <c r="J56" s="5"/>
      <c r="K56" s="2" t="str">
        <f>IFERROR(IF(Inputs!$B$36="OK",IF(A56&lt;=Inputs!$B$6,IF(AND(ISNUMBER(B56),ISNUMBER(Inputs!$B$4),YEAR(B56)=Inputs!$B$4),"OK","FIX DATE"),""),"PENDING"),"PENDING")</f>
        <v/>
      </c>
      <c r="L56" s="9">
        <f>IFERROR(IF(Inputs!$B$36="OK",IF(A56&lt;=Inputs!$B$6,IF(ISNUMBER(H56),MAX(0,C56*Inputs!$B$16*Inputs!$B$15-H56),"UNKNOWN MATCH"),0),"UNKNOWN MATCH"),"UNKNOWN MATCH")</f>
        <v>0</v>
      </c>
      <c r="M56" s="28">
        <f>IFERROR(IF(OR(NOT(A56&lt;=Inputs!$B$6),K56="OK"),IF(A56&lt;=Inputs!$B$6,MONTH(B56),0),"PENDING"),"PENDING")</f>
        <v>0</v>
      </c>
      <c r="N56" s="28" t="str">
        <f>IFERROR(IF(Inputs!$B$36="OK",IF(A56&lt;=Inputs!$B$6,IF(AND(K56="OK",Inputs!$B$37="OK",M56&gt;=Inputs!$B$32,M56&lt;=Inputs!$B$33),"OK","FIX PERIOD"),""),"PENDING"),"PENDING")</f>
        <v/>
      </c>
    </row>
  </sheetData>
  <sheetProtection sheet="1" objects="1" scenarios="1"/>
  <mergeCells count="2">
    <mergeCell ref="A1:L1"/>
    <mergeCell ref="A2:L2"/>
  </mergeCells>
  <dataValidations count="1">
    <dataValidation type="decimal" allowBlank="1" showErrorMessage="1" errorTitle="Check input" error="Enter a value within the stated range." sqref="C5:C56 J5:J56" xr:uid="{00000000-0002-0000-0300-000000000000}">
      <formula1>0</formula1>
      <formula2>100000000</formula2>
    </dataValidation>
  </dataValidations>
  <pageMargins left="0.3" right="0.3" top="0.4" bottom="0.4" header="0.2" footer="0.2"/>
  <pageSetup scale="66" orientation="landscape" r:id="rId1"/>
  <headerFooter>
    <oddFooter>&amp;CGroundwell Press | 1.0 | &amp;P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H16"/>
  <sheetViews>
    <sheetView showGridLines="0" workbookViewId="0">
      <pane ySplit="4" topLeftCell="A5" activePane="bottomLeft" state="frozen"/>
      <selection pane="bottomLeft" sqref="A1:C1"/>
    </sheetView>
  </sheetViews>
  <sheetFormatPr defaultRowHeight="15" x14ac:dyDescent="0.25"/>
  <cols>
    <col min="1" max="1" width="9.7109375" style="2" customWidth="1"/>
    <col min="2" max="2" width="17.7109375" style="2" customWidth="1"/>
    <col min="3" max="3" width="20.7109375" style="2" customWidth="1"/>
    <col min="4" max="4" width="11.7109375" style="2" customWidth="1"/>
    <col min="5" max="8" width="18.7109375" style="2" customWidth="1"/>
    <col min="9" max="16384" width="9.140625" style="2"/>
  </cols>
  <sheetData>
    <row r="1" spans="1:8" ht="36" customHeight="1" x14ac:dyDescent="0.25">
      <c r="A1" s="3" t="s">
        <v>94</v>
      </c>
      <c r="B1" s="1"/>
      <c r="C1" s="1"/>
    </row>
    <row r="2" spans="1:8" ht="36" customHeight="1" x14ac:dyDescent="0.25">
      <c r="A2" s="1" t="s">
        <v>95</v>
      </c>
      <c r="B2" s="1"/>
      <c r="C2" s="1"/>
    </row>
    <row r="4" spans="1:8" ht="35.1" customHeight="1" x14ac:dyDescent="0.25">
      <c r="A4" s="10" t="s">
        <v>96</v>
      </c>
      <c r="B4" s="10" t="s">
        <v>97</v>
      </c>
      <c r="C4" s="10" t="s">
        <v>98</v>
      </c>
      <c r="D4" s="2" t="s">
        <v>137</v>
      </c>
      <c r="E4" s="2" t="s">
        <v>138</v>
      </c>
      <c r="F4" s="2" t="s">
        <v>139</v>
      </c>
      <c r="G4" s="2" t="s">
        <v>140</v>
      </c>
      <c r="H4" s="2" t="s">
        <v>141</v>
      </c>
    </row>
    <row r="5" spans="1:8" ht="27.95" customHeight="1" x14ac:dyDescent="0.25">
      <c r="A5" s="2">
        <v>1</v>
      </c>
      <c r="B5" s="5">
        <f>IFERROR(IF(ISNUMBER(D5),IF(D5=1,IF(AND(ISNUMBER(Inputs!$B$24),Inputs!$B$24&gt;=0),Inputs!$B$24,"PENDING"),0),"PENDING"),"PENDING")</f>
        <v>100</v>
      </c>
      <c r="C5" s="12" t="s">
        <v>99</v>
      </c>
      <c r="D5" s="28">
        <f>IFERROR(IF(Inputs!$B$37="OK",IF(AND(A5&gt;=Inputs!$B$32,A5&lt;=Inputs!$B$33),1,0),"PENDING"),"PENDING")</f>
        <v>1</v>
      </c>
      <c r="E5" s="29">
        <f>IFERROR(IF(ISNUMBER(Results!$B$14),IF(D5=1,SUMIF(Payroll!M$5:M$56,A5,Payroll!J$5:J$56),0),"PENDING"),"PENDING")</f>
        <v>300</v>
      </c>
      <c r="F5" s="29">
        <f>IFERROR(IF(AND(ISNUMBER(D5),ISNUMBER(E5),OR(D5=0,AND(ISNUMBER(B5),B5&gt;=0))),IF(D5=1,E5+B5,0),"PENDING"),"PENDING")</f>
        <v>400</v>
      </c>
      <c r="G5" s="29">
        <f>IFERROR(IF(AND(ISNUMBER(D5),AND(ISNUMBER(Inputs!$B$25),Inputs!$B$25&gt;=0)),IF(D5=1,Inputs!$B$25,0),"PENDING"),"PENDING")</f>
        <v>450</v>
      </c>
      <c r="H5" s="29">
        <f>IFERROR(IF(AND(ISNUMBER(Inputs!$B$34),ISNUMBER(F5),ISNUMBER(G5),Inputs!$B$37="OK"),Inputs!$B$34+G5-F5,"PENDING"),"PENDING")</f>
        <v>50</v>
      </c>
    </row>
    <row r="6" spans="1:8" ht="27.95" customHeight="1" x14ac:dyDescent="0.25">
      <c r="A6" s="2">
        <v>2</v>
      </c>
      <c r="B6" s="5">
        <f>IFERROR(IF(ISNUMBER(D6),IF(D6=1,IF(AND(ISNUMBER(Inputs!$B$24),Inputs!$B$24&gt;=0),Inputs!$B$24,"PENDING"),0),"PENDING"),"PENDING")</f>
        <v>100</v>
      </c>
      <c r="C6" s="12" t="s">
        <v>99</v>
      </c>
      <c r="D6" s="28">
        <f>IFERROR(IF(Inputs!$B$37="OK",IF(AND(A6&gt;=Inputs!$B$32,A6&lt;=Inputs!$B$33),1,0),"PENDING"),"PENDING")</f>
        <v>1</v>
      </c>
      <c r="E6" s="29">
        <f>IFERROR(IF(ISNUMBER(Results!$B$14),IF(D6=1,SUMIF(Payroll!M$5:M$56,A6,Payroll!J$5:J$56),0),"PENDING"),"PENDING")</f>
        <v>300</v>
      </c>
      <c r="F6" s="29">
        <f>IFERROR(IF(AND(ISNUMBER(D6),ISNUMBER(E6),OR(D6=0,AND(ISNUMBER(B6),B6&gt;=0))),IF(D6=1,E6+B6,0),"PENDING"),"PENDING")</f>
        <v>400</v>
      </c>
      <c r="G6" s="29">
        <f>IFERROR(IF(AND(ISNUMBER(D6),AND(ISNUMBER(Inputs!$B$25),Inputs!$B$25&gt;=0)),IF(D6=1,Inputs!$B$25,0),"PENDING"),"PENDING")</f>
        <v>450</v>
      </c>
      <c r="H6" s="29">
        <f>IFERROR(IF(AND(ISNUMBER(H5),ISNUMBER(F6),ISNUMBER(G6),Inputs!$B$37="OK"),H5+G6-F6,"PENDING"),"PENDING")</f>
        <v>100</v>
      </c>
    </row>
    <row r="7" spans="1:8" ht="27.95" customHeight="1" x14ac:dyDescent="0.25">
      <c r="A7" s="2">
        <v>3</v>
      </c>
      <c r="B7" s="5">
        <f>IFERROR(IF(ISNUMBER(D7),IF(D7=1,IF(AND(ISNUMBER(Inputs!$B$24),Inputs!$B$24&gt;=0),Inputs!$B$24,"PENDING"),0),"PENDING"),"PENDING")</f>
        <v>100</v>
      </c>
      <c r="C7" s="12" t="s">
        <v>99</v>
      </c>
      <c r="D7" s="28">
        <f>IFERROR(IF(Inputs!$B$37="OK",IF(AND(A7&gt;=Inputs!$B$32,A7&lt;=Inputs!$B$33),1,0),"PENDING"),"PENDING")</f>
        <v>1</v>
      </c>
      <c r="E7" s="29">
        <f>IFERROR(IF(ISNUMBER(Results!$B$14),IF(D7=1,SUMIF(Payroll!M$5:M$56,A7,Payroll!J$5:J$56),0),"PENDING"),"PENDING")</f>
        <v>300</v>
      </c>
      <c r="F7" s="29">
        <f>IFERROR(IF(AND(ISNUMBER(D7),ISNUMBER(E7),OR(D7=0,AND(ISNUMBER(B7),B7&gt;=0))),IF(D7=1,E7+B7,0),"PENDING"),"PENDING")</f>
        <v>400</v>
      </c>
      <c r="G7" s="29">
        <f>IFERROR(IF(AND(ISNUMBER(D7),AND(ISNUMBER(Inputs!$B$25),Inputs!$B$25&gt;=0)),IF(D7=1,Inputs!$B$25,0),"PENDING"),"PENDING")</f>
        <v>450</v>
      </c>
      <c r="H7" s="29">
        <f>IFERROR(IF(AND(ISNUMBER(H6),ISNUMBER(F7),ISNUMBER(G7),Inputs!$B$37="OK"),H6+G7-F7,"PENDING"),"PENDING")</f>
        <v>150</v>
      </c>
    </row>
    <row r="8" spans="1:8" ht="27.95" customHeight="1" x14ac:dyDescent="0.25">
      <c r="A8" s="2">
        <v>4</v>
      </c>
      <c r="B8" s="5">
        <f>IFERROR(IF(ISNUMBER(D8),IF(D8=1,IF(AND(ISNUMBER(Inputs!$B$24),Inputs!$B$24&gt;=0),Inputs!$B$24,"PENDING"),0),"PENDING"),"PENDING")</f>
        <v>100</v>
      </c>
      <c r="C8" s="12" t="s">
        <v>99</v>
      </c>
      <c r="D8" s="28">
        <f>IFERROR(IF(Inputs!$B$37="OK",IF(AND(A8&gt;=Inputs!$B$32,A8&lt;=Inputs!$B$33),1,0),"PENDING"),"PENDING")</f>
        <v>1</v>
      </c>
      <c r="E8" s="29">
        <f>IFERROR(IF(ISNUMBER(Results!$B$14),IF(D8=1,SUMIF(Payroll!M$5:M$56,A8,Payroll!J$5:J$56),0),"PENDING"),"PENDING")</f>
        <v>300</v>
      </c>
      <c r="F8" s="29">
        <f>IFERROR(IF(AND(ISNUMBER(D8),ISNUMBER(E8),OR(D8=0,AND(ISNUMBER(B8),B8&gt;=0))),IF(D8=1,E8+B8,0),"PENDING"),"PENDING")</f>
        <v>400</v>
      </c>
      <c r="G8" s="29">
        <f>IFERROR(IF(AND(ISNUMBER(D8),AND(ISNUMBER(Inputs!$B$25),Inputs!$B$25&gt;=0)),IF(D8=1,Inputs!$B$25,0),"PENDING"),"PENDING")</f>
        <v>450</v>
      </c>
      <c r="H8" s="29">
        <f>IFERROR(IF(AND(ISNUMBER(H7),ISNUMBER(F8),ISNUMBER(G8),Inputs!$B$37="OK"),H7+G8-F8,"PENDING"),"PENDING")</f>
        <v>200</v>
      </c>
    </row>
    <row r="9" spans="1:8" ht="27.95" customHeight="1" x14ac:dyDescent="0.25">
      <c r="A9" s="2">
        <v>5</v>
      </c>
      <c r="B9" s="5">
        <f>IFERROR(IF(ISNUMBER(D9),IF(D9=1,IF(AND(ISNUMBER(Inputs!$B$24),Inputs!$B$24&gt;=0),Inputs!$B$24,"PENDING"),0),"PENDING"),"PENDING")</f>
        <v>100</v>
      </c>
      <c r="C9" s="12" t="s">
        <v>99</v>
      </c>
      <c r="D9" s="28">
        <f>IFERROR(IF(Inputs!$B$37="OK",IF(AND(A9&gt;=Inputs!$B$32,A9&lt;=Inputs!$B$33),1,0),"PENDING"),"PENDING")</f>
        <v>1</v>
      </c>
      <c r="E9" s="29">
        <f>IFERROR(IF(ISNUMBER(Results!$B$14),IF(D9=1,SUMIF(Payroll!M$5:M$56,A9,Payroll!J$5:J$56),0),"PENDING"),"PENDING")</f>
        <v>450</v>
      </c>
      <c r="F9" s="29">
        <f>IFERROR(IF(AND(ISNUMBER(D9),ISNUMBER(E9),OR(D9=0,AND(ISNUMBER(B9),B9&gt;=0))),IF(D9=1,E9+B9,0),"PENDING"),"PENDING")</f>
        <v>550</v>
      </c>
      <c r="G9" s="29">
        <f>IFERROR(IF(AND(ISNUMBER(D9),AND(ISNUMBER(Inputs!$B$25),Inputs!$B$25&gt;=0)),IF(D9=1,Inputs!$B$25,0),"PENDING"),"PENDING")</f>
        <v>450</v>
      </c>
      <c r="H9" s="29">
        <f>IFERROR(IF(AND(ISNUMBER(H8),ISNUMBER(F9),ISNUMBER(G9),Inputs!$B$37="OK"),H8+G9-F9,"PENDING"),"PENDING")</f>
        <v>100</v>
      </c>
    </row>
    <row r="10" spans="1:8" ht="27.95" customHeight="1" x14ac:dyDescent="0.25">
      <c r="A10" s="2">
        <v>6</v>
      </c>
      <c r="B10" s="5">
        <f>IFERROR(IF(ISNUMBER(D10),IF(D10=1,IF(AND(ISNUMBER(Inputs!$B$24),Inputs!$B$24&gt;=0),Inputs!$B$24,"PENDING"),0),"PENDING"),"PENDING")</f>
        <v>100</v>
      </c>
      <c r="C10" s="12" t="s">
        <v>99</v>
      </c>
      <c r="D10" s="28">
        <f>IFERROR(IF(Inputs!$B$37="OK",IF(AND(A10&gt;=Inputs!$B$32,A10&lt;=Inputs!$B$33),1,0),"PENDING"),"PENDING")</f>
        <v>1</v>
      </c>
      <c r="E10" s="29">
        <f>IFERROR(IF(ISNUMBER(Results!$B$14),IF(D10=1,SUMIF(Payroll!M$5:M$56,A10,Payroll!J$5:J$56),0),"PENDING"),"PENDING")</f>
        <v>300</v>
      </c>
      <c r="F10" s="29">
        <f>IFERROR(IF(AND(ISNUMBER(D10),ISNUMBER(E10),OR(D10=0,AND(ISNUMBER(B10),B10&gt;=0))),IF(D10=1,E10+B10,0),"PENDING"),"PENDING")</f>
        <v>400</v>
      </c>
      <c r="G10" s="29">
        <f>IFERROR(IF(AND(ISNUMBER(D10),AND(ISNUMBER(Inputs!$B$25),Inputs!$B$25&gt;=0)),IF(D10=1,Inputs!$B$25,0),"PENDING"),"PENDING")</f>
        <v>450</v>
      </c>
      <c r="H10" s="29">
        <f>IFERROR(IF(AND(ISNUMBER(H9),ISNUMBER(F10),ISNUMBER(G10),Inputs!$B$37="OK"),H9+G10-F10,"PENDING"),"PENDING")</f>
        <v>150</v>
      </c>
    </row>
    <row r="11" spans="1:8" ht="27.95" customHeight="1" x14ac:dyDescent="0.25">
      <c r="A11" s="2">
        <v>7</v>
      </c>
      <c r="B11" s="5">
        <f>IFERROR(IF(ISNUMBER(D11),IF(D11=1,IF(AND(ISNUMBER(Inputs!$B$24),Inputs!$B$24&gt;=0),Inputs!$B$24,"PENDING"),0),"PENDING"),"PENDING")</f>
        <v>100</v>
      </c>
      <c r="C11" s="12" t="s">
        <v>99</v>
      </c>
      <c r="D11" s="28">
        <f>IFERROR(IF(Inputs!$B$37="OK",IF(AND(A11&gt;=Inputs!$B$32,A11&lt;=Inputs!$B$33),1,0),"PENDING"),"PENDING")</f>
        <v>1</v>
      </c>
      <c r="E11" s="29">
        <f>IFERROR(IF(ISNUMBER(Results!$B$14),IF(D11=1,SUMIF(Payroll!M$5:M$56,A11,Payroll!J$5:J$56),0),"PENDING"),"PENDING")</f>
        <v>300</v>
      </c>
      <c r="F11" s="29">
        <f>IFERROR(IF(AND(ISNUMBER(D11),ISNUMBER(E11),OR(D11=0,AND(ISNUMBER(B11),B11&gt;=0))),IF(D11=1,E11+B11,0),"PENDING"),"PENDING")</f>
        <v>400</v>
      </c>
      <c r="G11" s="29">
        <f>IFERROR(IF(AND(ISNUMBER(D11),AND(ISNUMBER(Inputs!$B$25),Inputs!$B$25&gt;=0)),IF(D11=1,Inputs!$B$25,0),"PENDING"),"PENDING")</f>
        <v>450</v>
      </c>
      <c r="H11" s="29">
        <f>IFERROR(IF(AND(ISNUMBER(H10),ISNUMBER(F11),ISNUMBER(G11),Inputs!$B$37="OK"),H10+G11-F11,"PENDING"),"PENDING")</f>
        <v>200</v>
      </c>
    </row>
    <row r="12" spans="1:8" ht="27.95" customHeight="1" x14ac:dyDescent="0.25">
      <c r="A12" s="2">
        <v>8</v>
      </c>
      <c r="B12" s="5">
        <f>IFERROR(IF(ISNUMBER(D12),IF(D12=1,IF(AND(ISNUMBER(Inputs!$B$24),Inputs!$B$24&gt;=0),Inputs!$B$24,"PENDING"),0),"PENDING"),"PENDING")</f>
        <v>100</v>
      </c>
      <c r="C12" s="12" t="s">
        <v>99</v>
      </c>
      <c r="D12" s="28">
        <f>IFERROR(IF(Inputs!$B$37="OK",IF(AND(A12&gt;=Inputs!$B$32,A12&lt;=Inputs!$B$33),1,0),"PENDING"),"PENDING")</f>
        <v>1</v>
      </c>
      <c r="E12" s="29">
        <f>IFERROR(IF(ISNUMBER(Results!$B$14),IF(D12=1,SUMIF(Payroll!M$5:M$56,A12,Payroll!J$5:J$56),0),"PENDING"),"PENDING")</f>
        <v>300</v>
      </c>
      <c r="F12" s="29">
        <f>IFERROR(IF(AND(ISNUMBER(D12),ISNUMBER(E12),OR(D12=0,AND(ISNUMBER(B12),B12&gt;=0))),IF(D12=1,E12+B12,0),"PENDING"),"PENDING")</f>
        <v>400</v>
      </c>
      <c r="G12" s="29">
        <f>IFERROR(IF(AND(ISNUMBER(D12),AND(ISNUMBER(Inputs!$B$25),Inputs!$B$25&gt;=0)),IF(D12=1,Inputs!$B$25,0),"PENDING"),"PENDING")</f>
        <v>450</v>
      </c>
      <c r="H12" s="29">
        <f>IFERROR(IF(AND(ISNUMBER(H11),ISNUMBER(F12),ISNUMBER(G12),Inputs!$B$37="OK"),H11+G12-F12,"PENDING"),"PENDING")</f>
        <v>250</v>
      </c>
    </row>
    <row r="13" spans="1:8" ht="27.95" customHeight="1" x14ac:dyDescent="0.25">
      <c r="A13" s="2">
        <v>9</v>
      </c>
      <c r="B13" s="5">
        <f>IFERROR(IF(ISNUMBER(D13),IF(D13=1,IF(AND(ISNUMBER(Inputs!$B$24),Inputs!$B$24&gt;=0),Inputs!$B$24,"PENDING"),0),"PENDING"),"PENDING")</f>
        <v>100</v>
      </c>
      <c r="C13" s="12" t="s">
        <v>99</v>
      </c>
      <c r="D13" s="28">
        <f>IFERROR(IF(Inputs!$B$37="OK",IF(AND(A13&gt;=Inputs!$B$32,A13&lt;=Inputs!$B$33),1,0),"PENDING"),"PENDING")</f>
        <v>1</v>
      </c>
      <c r="E13" s="29">
        <f>IFERROR(IF(ISNUMBER(Results!$B$14),IF(D13=1,SUMIF(Payroll!M$5:M$56,A13,Payroll!J$5:J$56),0),"PENDING"),"PENDING")</f>
        <v>300</v>
      </c>
      <c r="F13" s="29">
        <f>IFERROR(IF(AND(ISNUMBER(D13),ISNUMBER(E13),OR(D13=0,AND(ISNUMBER(B13),B13&gt;=0))),IF(D13=1,E13+B13,0),"PENDING"),"PENDING")</f>
        <v>400</v>
      </c>
      <c r="G13" s="29">
        <f>IFERROR(IF(AND(ISNUMBER(D13),AND(ISNUMBER(Inputs!$B$25),Inputs!$B$25&gt;=0)),IF(D13=1,Inputs!$B$25,0),"PENDING"),"PENDING")</f>
        <v>450</v>
      </c>
      <c r="H13" s="29">
        <f>IFERROR(IF(AND(ISNUMBER(H12),ISNUMBER(F13),ISNUMBER(G13),Inputs!$B$37="OK"),H12+G13-F13,"PENDING"),"PENDING")</f>
        <v>300</v>
      </c>
    </row>
    <row r="14" spans="1:8" ht="27.95" customHeight="1" x14ac:dyDescent="0.25">
      <c r="A14" s="2">
        <v>10</v>
      </c>
      <c r="B14" s="5">
        <f>IFERROR(IF(ISNUMBER(D14),IF(D14=1,IF(AND(ISNUMBER(Inputs!$B$24),Inputs!$B$24&gt;=0),Inputs!$B$24,"PENDING"),0),"PENDING"),"PENDING")</f>
        <v>100</v>
      </c>
      <c r="C14" s="12" t="s">
        <v>99</v>
      </c>
      <c r="D14" s="28">
        <f>IFERROR(IF(Inputs!$B$37="OK",IF(AND(A14&gt;=Inputs!$B$32,A14&lt;=Inputs!$B$33),1,0),"PENDING"),"PENDING")</f>
        <v>1</v>
      </c>
      <c r="E14" s="29">
        <f>IFERROR(IF(ISNUMBER(Results!$B$14),IF(D14=1,SUMIF(Payroll!M$5:M$56,A14,Payroll!J$5:J$56),0),"PENDING"),"PENDING")</f>
        <v>450</v>
      </c>
      <c r="F14" s="29">
        <f>IFERROR(IF(AND(ISNUMBER(D14),ISNUMBER(E14),OR(D14=0,AND(ISNUMBER(B14),B14&gt;=0))),IF(D14=1,E14+B14,0),"PENDING"),"PENDING")</f>
        <v>550</v>
      </c>
      <c r="G14" s="29">
        <f>IFERROR(IF(AND(ISNUMBER(D14),AND(ISNUMBER(Inputs!$B$25),Inputs!$B$25&gt;=0)),IF(D14=1,Inputs!$B$25,0),"PENDING"),"PENDING")</f>
        <v>450</v>
      </c>
      <c r="H14" s="29">
        <f>IFERROR(IF(AND(ISNUMBER(H13),ISNUMBER(F14),ISNUMBER(G14),Inputs!$B$37="OK"),H13+G14-F14,"PENDING"),"PENDING")</f>
        <v>200</v>
      </c>
    </row>
    <row r="15" spans="1:8" ht="27.95" customHeight="1" x14ac:dyDescent="0.25">
      <c r="A15" s="2">
        <v>11</v>
      </c>
      <c r="B15" s="5">
        <f>IFERROR(IF(ISNUMBER(D15),IF(D15=1,IF(AND(ISNUMBER(Inputs!$B$24),Inputs!$B$24&gt;=0),Inputs!$B$24,"PENDING"),0),"PENDING"),"PENDING")</f>
        <v>100</v>
      </c>
      <c r="C15" s="12" t="s">
        <v>99</v>
      </c>
      <c r="D15" s="28">
        <f>IFERROR(IF(Inputs!$B$37="OK",IF(AND(A15&gt;=Inputs!$B$32,A15&lt;=Inputs!$B$33),1,0),"PENDING"),"PENDING")</f>
        <v>1</v>
      </c>
      <c r="E15" s="29">
        <f>IFERROR(IF(ISNUMBER(Results!$B$14),IF(D15=1,SUMIF(Payroll!M$5:M$56,A15,Payroll!J$5:J$56),0),"PENDING"),"PENDING")</f>
        <v>300</v>
      </c>
      <c r="F15" s="29">
        <f>IFERROR(IF(AND(ISNUMBER(D15),ISNUMBER(E15),OR(D15=0,AND(ISNUMBER(B15),B15&gt;=0))),IF(D15=1,E15+B15,0),"PENDING"),"PENDING")</f>
        <v>400</v>
      </c>
      <c r="G15" s="29">
        <f>IFERROR(IF(AND(ISNUMBER(D15),AND(ISNUMBER(Inputs!$B$25),Inputs!$B$25&gt;=0)),IF(D15=1,Inputs!$B$25,0),"PENDING"),"PENDING")</f>
        <v>450</v>
      </c>
      <c r="H15" s="29">
        <f>IFERROR(IF(AND(ISNUMBER(H14),ISNUMBER(F15),ISNUMBER(G15),Inputs!$B$37="OK"),H14+G15-F15,"PENDING"),"PENDING")</f>
        <v>250</v>
      </c>
    </row>
    <row r="16" spans="1:8" ht="27.95" customHeight="1" x14ac:dyDescent="0.25">
      <c r="A16" s="2">
        <v>12</v>
      </c>
      <c r="B16" s="5">
        <f>IFERROR(IF(ISNUMBER(D16),IF(D16=1,IF(AND(ISNUMBER(Inputs!$B$24),Inputs!$B$24&gt;=0),Inputs!$B$24,"PENDING"),0),"PENDING"),"PENDING")</f>
        <v>100</v>
      </c>
      <c r="C16" s="12" t="s">
        <v>99</v>
      </c>
      <c r="D16" s="28">
        <f>IFERROR(IF(Inputs!$B$37="OK",IF(AND(A16&gt;=Inputs!$B$32,A16&lt;=Inputs!$B$33),1,0),"PENDING"),"PENDING")</f>
        <v>1</v>
      </c>
      <c r="E16" s="29">
        <f>IFERROR(IF(ISNUMBER(Results!$B$14),IF(D16=1,SUMIF(Payroll!M$5:M$56,A16,Payroll!J$5:J$56),0),"PENDING"),"PENDING")</f>
        <v>300</v>
      </c>
      <c r="F16" s="29">
        <f>IFERROR(IF(AND(ISNUMBER(D16),ISNUMBER(E16),OR(D16=0,AND(ISNUMBER(B16),B16&gt;=0))),IF(D16=1,E16+B16,0),"PENDING"),"PENDING")</f>
        <v>400</v>
      </c>
      <c r="G16" s="29">
        <f>IFERROR(IF(AND(ISNUMBER(D16),AND(ISNUMBER(Inputs!$B$25),Inputs!$B$25&gt;=0)),IF(D16=1,Inputs!$B$25,0),"PENDING"),"PENDING")</f>
        <v>450</v>
      </c>
      <c r="H16" s="29">
        <f>IFERROR(IF(AND(ISNUMBER(H15),ISNUMBER(F16),ISNUMBER(G16),Inputs!$B$37="OK"),H15+G16-F16,"PENDING"),"PENDING")</f>
        <v>300</v>
      </c>
    </row>
  </sheetData>
  <sheetProtection sheet="1" objects="1" scenarios="1"/>
  <mergeCells count="2">
    <mergeCell ref="A1:C1"/>
    <mergeCell ref="A2:C2"/>
  </mergeCells>
  <dataValidations count="1">
    <dataValidation type="decimal" allowBlank="1" showErrorMessage="1" errorTitle="Check input" error="Enter a value within the stated range." sqref="B5:B16" xr:uid="{00000000-0002-0000-0400-000000000000}">
      <formula1>0</formula1>
      <formula2>100000000</formula2>
    </dataValidation>
  </dataValidations>
  <pageMargins left="0.3" right="0.3" top="0.4" bottom="0.4" header="0.2" footer="0.2"/>
  <pageSetup orientation="landscape" r:id="rId1"/>
  <headerFooter>
    <oddFooter>&amp;CGroundwell Press | 1.0 | &amp;P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6</vt:i4>
      </vt:variant>
    </vt:vector>
  </HeadingPairs>
  <TitlesOfParts>
    <vt:vector size="13" baseType="lpstr">
      <vt:lpstr>Overview</vt:lpstr>
      <vt:lpstr>Sources</vt:lpstr>
      <vt:lpstr>Guide</vt:lpstr>
      <vt:lpstr>Inputs</vt:lpstr>
      <vt:lpstr>Results</vt:lpstr>
      <vt:lpstr>Payroll</vt:lpstr>
      <vt:lpstr>IRA</vt:lpstr>
      <vt:lpstr>Guide!Print_Area</vt:lpstr>
      <vt:lpstr>Inputs!Print_Area</vt:lpstr>
      <vt:lpstr>IRA!Print_Area</vt:lpstr>
      <vt:lpstr>Overview!Print_Area</vt:lpstr>
      <vt:lpstr>Payroll!Print_Area</vt:lpstr>
      <vt:lpstr>Results!Print_Area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everblue-admin</cp:lastModifiedBy>
  <dcterms:created xsi:type="dcterms:W3CDTF">2026-10-03T03:07:55Z</dcterms:created>
  <dcterms:modified xsi:type="dcterms:W3CDTF">2026-10-03T03:07:59Z</dcterms:modified>
</cp:coreProperties>
</file>